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D22" i="52" l="1"/>
  <c r="AC22" i="52"/>
  <c r="AE22" i="52"/>
  <c r="AD21" i="52"/>
  <c r="AC21" i="52"/>
  <c r="AE21" i="52"/>
  <c r="V110" i="18"/>
  <c r="W110" i="18" s="1"/>
  <c r="S110" i="18"/>
  <c r="S83" i="18"/>
  <c r="X110" i="18" l="1"/>
  <c r="K113" i="18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5" i="52" l="1"/>
  <c r="AD24" i="52"/>
  <c r="AD20" i="52"/>
  <c r="AD19" i="52"/>
  <c r="Z20" i="52"/>
  <c r="Z19" i="52"/>
  <c r="AE20" i="52"/>
  <c r="AE19" i="52"/>
  <c r="D304" i="20" l="1"/>
  <c r="R198" i="18"/>
  <c r="R182" i="18"/>
  <c r="W160" i="18"/>
  <c r="W159" i="18"/>
  <c r="AD18" i="52"/>
  <c r="Z18" i="52"/>
  <c r="AE18" i="52"/>
  <c r="AD17" i="52"/>
  <c r="Z17" i="52"/>
  <c r="AE17" i="52"/>
  <c r="M27" i="52"/>
  <c r="M26" i="52"/>
  <c r="M20" i="52"/>
  <c r="L26" i="52" s="1"/>
  <c r="N17" i="52"/>
  <c r="N16" i="52"/>
  <c r="AJ140" i="18"/>
  <c r="M114" i="18" l="1"/>
  <c r="L107" i="18"/>
  <c r="L108" i="18"/>
  <c r="L109" i="18"/>
  <c r="L110" i="18"/>
  <c r="L111" i="18"/>
  <c r="L112" i="18"/>
  <c r="W158" i="18" l="1"/>
  <c r="W157" i="18"/>
  <c r="D303" i="20"/>
  <c r="D302" i="20"/>
  <c r="R162" i="18"/>
  <c r="W156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4" i="18"/>
  <c r="U163" i="18"/>
  <c r="N51" i="18"/>
  <c r="N47" i="18"/>
  <c r="M111" i="18" l="1"/>
  <c r="N111" i="18" s="1"/>
  <c r="AD15" i="52"/>
  <c r="AE15" i="52"/>
  <c r="AD14" i="52"/>
  <c r="AE14" i="52"/>
  <c r="Z15" i="52"/>
  <c r="D296" i="20"/>
  <c r="D295" i="20"/>
  <c r="W153" i="18" l="1"/>
  <c r="W152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1" i="18"/>
  <c r="W150" i="18"/>
  <c r="H38" i="55" l="1"/>
  <c r="I2" i="55"/>
  <c r="I33" i="55" s="1"/>
  <c r="I38" i="55" s="1"/>
  <c r="D32" i="55"/>
  <c r="D293" i="20"/>
  <c r="W149" i="18" l="1"/>
  <c r="N49" i="18"/>
  <c r="N53" i="18"/>
  <c r="N50" i="18"/>
  <c r="M110" i="18" l="1"/>
  <c r="N110" i="18" s="1"/>
  <c r="D292" i="20"/>
  <c r="C8" i="36"/>
  <c r="W148" i="18"/>
  <c r="N5" i="52"/>
  <c r="N44" i="18" l="1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47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18" i="18"/>
  <c r="D281" i="20" l="1"/>
  <c r="D280" i="20" l="1"/>
  <c r="AD5" i="52" l="1"/>
  <c r="B38" i="52"/>
  <c r="D279" i="20"/>
  <c r="W123" i="18" l="1"/>
  <c r="W146" i="18"/>
  <c r="D278" i="20"/>
  <c r="W125" i="18" l="1"/>
  <c r="W124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18" i="18"/>
  <c r="AR14" i="18"/>
  <c r="S117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N20" i="52" l="1"/>
  <c r="O20" i="52" s="1"/>
  <c r="AL129" i="18"/>
  <c r="AM130" i="18"/>
  <c r="M22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5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4" i="18"/>
  <c r="AM124" i="18" l="1"/>
  <c r="AL123" i="18"/>
  <c r="AM123" i="18" l="1"/>
  <c r="AL122" i="18"/>
  <c r="L34" i="18"/>
  <c r="AL121" i="18" l="1"/>
  <c r="AM122" i="18"/>
  <c r="W138" i="18"/>
  <c r="W139" i="18"/>
  <c r="W140" i="18"/>
  <c r="W141" i="18"/>
  <c r="W142" i="18"/>
  <c r="W143" i="18"/>
  <c r="W155" i="18"/>
  <c r="W137" i="18"/>
  <c r="AM121" i="18" l="1"/>
  <c r="AL120" i="18"/>
  <c r="N55" i="18"/>
  <c r="AM120" i="18" l="1"/>
  <c r="AL119" i="18"/>
  <c r="T179" i="18"/>
  <c r="AM119" i="18" l="1"/>
  <c r="AL118" i="18"/>
  <c r="T121" i="18"/>
  <c r="S41" i="18"/>
  <c r="S42" i="18" s="1"/>
  <c r="S43" i="18" s="1"/>
  <c r="R142" i="18"/>
  <c r="R141" i="18"/>
  <c r="R140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39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2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0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0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38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0" i="18"/>
  <c r="G292" i="20" l="1"/>
  <c r="K293" i="20"/>
  <c r="J293" i="20"/>
  <c r="I293" i="20"/>
  <c r="S78" i="18"/>
  <c r="S79" i="18" s="1"/>
  <c r="S80" i="18" s="1"/>
  <c r="S81" i="18" s="1"/>
  <c r="S82" i="18" s="1"/>
  <c r="S84" i="18" s="1"/>
  <c r="S85" i="18" s="1"/>
  <c r="S86" i="18" s="1"/>
  <c r="AL76" i="18"/>
  <c r="AM77" i="18"/>
  <c r="S87" i="18" l="1"/>
  <c r="S88" i="18" s="1"/>
  <c r="S89" i="18" s="1"/>
  <c r="S90" i="18" s="1"/>
  <c r="S91" i="18" s="1"/>
  <c r="S92" i="18" s="1"/>
  <c r="S93" i="18" s="1"/>
  <c r="S94" i="18" s="1"/>
  <c r="G291" i="20"/>
  <c r="I292" i="20"/>
  <c r="K292" i="20"/>
  <c r="J292" i="20"/>
  <c r="AL75" i="18"/>
  <c r="AM76" i="18"/>
  <c r="N54" i="18"/>
  <c r="S95" i="18" l="1"/>
  <c r="S96" i="18" s="1"/>
  <c r="S97" i="18" s="1"/>
  <c r="S98" i="18" s="1"/>
  <c r="S99" i="18" s="1"/>
  <c r="S100" i="18" s="1"/>
  <c r="S101" i="18" s="1"/>
  <c r="S102" i="18" s="1"/>
  <c r="S103" i="18" s="1"/>
  <c r="AJ146" i="18"/>
  <c r="AJ147" i="18" s="1"/>
  <c r="Q113" i="18"/>
  <c r="M106" i="18"/>
  <c r="N106" i="18" s="1"/>
  <c r="N114" i="18" s="1"/>
  <c r="G290" i="20"/>
  <c r="J291" i="20"/>
  <c r="K291" i="20"/>
  <c r="I291" i="20"/>
  <c r="R137" i="18"/>
  <c r="AL74" i="18"/>
  <c r="AM75" i="18"/>
  <c r="S104" i="18" l="1"/>
  <c r="S105" i="18" s="1"/>
  <c r="S106" i="18" s="1"/>
  <c r="S107" i="18" s="1"/>
  <c r="S108" i="18" s="1"/>
  <c r="S109" i="18" s="1"/>
  <c r="G289" i="20"/>
  <c r="I290" i="20"/>
  <c r="K290" i="20"/>
  <c r="J290" i="20"/>
  <c r="R146" i="18"/>
  <c r="T166" i="18" s="1"/>
  <c r="AL73" i="18"/>
  <c r="AM74" i="18"/>
  <c r="N86" i="18"/>
  <c r="V109" i="18" l="1"/>
  <c r="X109" i="18" s="1"/>
  <c r="W109" i="18"/>
  <c r="V34" i="18"/>
  <c r="W34" i="18" s="1"/>
  <c r="V48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G288" i="20"/>
  <c r="K289" i="20"/>
  <c r="J289" i="20"/>
  <c r="I289" i="20"/>
  <c r="S125" i="18"/>
  <c r="V169" i="18"/>
  <c r="U179" i="18"/>
  <c r="V179" i="18" s="1"/>
  <c r="V96" i="18"/>
  <c r="V95" i="18"/>
  <c r="V33" i="18"/>
  <c r="W33" i="18" s="1"/>
  <c r="V47" i="18"/>
  <c r="V93" i="18"/>
  <c r="V94" i="18"/>
  <c r="V91" i="18"/>
  <c r="V90" i="18"/>
  <c r="V89" i="18"/>
  <c r="V88" i="18"/>
  <c r="V84" i="18"/>
  <c r="V87" i="18"/>
  <c r="V85" i="18"/>
  <c r="V86" i="18"/>
  <c r="V92" i="18"/>
  <c r="V112" i="18"/>
  <c r="V82" i="18"/>
  <c r="W82" i="18" s="1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34" i="18" l="1"/>
  <c r="W48" i="18"/>
  <c r="X48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G287" i="20"/>
  <c r="J288" i="20"/>
  <c r="K288" i="20"/>
  <c r="I288" i="20"/>
  <c r="W95" i="18"/>
  <c r="X95" i="18"/>
  <c r="W96" i="18"/>
  <c r="X96" i="18"/>
  <c r="W47" i="18"/>
  <c r="X47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12" i="18"/>
  <c r="X112" i="18"/>
  <c r="W85" i="18"/>
  <c r="X85" i="18"/>
  <c r="W87" i="18"/>
  <c r="X87" i="18"/>
  <c r="X92" i="18"/>
  <c r="W92" i="18"/>
  <c r="W86" i="18"/>
  <c r="X86" i="18"/>
  <c r="W84" i="18"/>
  <c r="X84" i="18"/>
  <c r="X82" i="18"/>
  <c r="W83" i="18"/>
  <c r="X83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4" i="18"/>
  <c r="N63" i="18"/>
  <c r="S123" i="18"/>
  <c r="U123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4" i="18"/>
  <c r="V124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3" i="18" l="1"/>
  <c r="U125" i="18"/>
  <c r="V125" i="18" s="1"/>
</calcChain>
</file>

<file path=xl/sharedStrings.xml><?xml version="1.0" encoding="utf-8"?>
<sst xmlns="http://schemas.openxmlformats.org/spreadsheetml/2006/main" count="10566" uniqueCount="4771">
  <si>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</si>
  <si>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</si>
  <si>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</si>
  <si>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</si>
  <si>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</si>
  <si>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</si>
  <si>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</si>
  <si>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</si>
  <si>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</si>
  <si>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</si>
  <si>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</si>
  <si>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</si>
  <si>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</si>
  <si>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</si>
  <si>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</si>
  <si>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</si>
  <si>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</si>
  <si>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</si>
  <si>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</si>
  <si>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</si>
  <si>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</si>
  <si>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</si>
  <si>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</si>
  <si>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</si>
  <si>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</si>
  <si>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</si>
  <si>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</si>
  <si>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</si>
  <si>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</si>
  <si>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</si>
  <si>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</si>
  <si>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</si>
  <si>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</si>
  <si>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</si>
  <si>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</si>
  <si>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</si>
  <si>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</si>
  <si>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</si>
  <si>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</si>
  <si>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</si>
  <si>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</si>
  <si>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</si>
  <si>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</si>
  <si>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</si>
  <si>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</si>
  <si>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</si>
  <si>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</si>
  <si>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</si>
  <si>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</si>
  <si>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</si>
  <si>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</si>
  <si>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</si>
  <si>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</si>
  <si>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</si>
  <si>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</si>
  <si>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</si>
  <si>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</si>
  <si>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</si>
  <si>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</si>
  <si>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</si>
  <si>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</si>
  <si>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</si>
  <si>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</si>
  <si>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</si>
  <si>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</si>
  <si>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</si>
  <si>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</si>
  <si>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</si>
  <si>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</si>
  <si>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</si>
  <si>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</si>
  <si>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</si>
  <si>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</si>
  <si>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</si>
  <si>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</si>
  <si>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</si>
  <si>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</si>
  <si>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</si>
  <si>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</si>
  <si>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</si>
  <si>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</si>
  <si>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</si>
  <si>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</si>
  <si>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</si>
  <si>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</si>
  <si>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</si>
  <si>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</si>
  <si>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</si>
  <si>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</si>
  <si>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</si>
  <si>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</si>
  <si>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</si>
  <si>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</si>
  <si>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</si>
  <si>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</si>
  <si>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</si>
  <si>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</si>
  <si>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</si>
  <si>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</si>
  <si>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</si>
  <si>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</si>
  <si>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</si>
  <si>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</si>
  <si>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</si>
  <si>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</si>
  <si>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</si>
  <si>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</si>
  <si>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</si>
  <si>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</si>
  <si>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</si>
  <si>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</si>
  <si>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</si>
  <si>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</si>
  <si>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</si>
  <si>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</si>
  <si>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</si>
  <si>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</si>
  <si>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</si>
  <si>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</si>
  <si>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</si>
  <si>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</si>
  <si>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</si>
  <si>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</si>
  <si>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</si>
  <si>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</si>
  <si>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</si>
  <si>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</si>
  <si>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</si>
  <si>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</si>
  <si>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</si>
  <si>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</si>
  <si>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</si>
  <si>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</si>
  <si>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</si>
  <si>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</si>
  <si>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</si>
  <si>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</si>
  <si>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</si>
  <si>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</si>
  <si>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</si>
  <si>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</si>
  <si>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</si>
  <si>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</si>
  <si>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</si>
  <si>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</si>
  <si>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</si>
  <si>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</si>
  <si>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</si>
  <si>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</si>
  <si>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</si>
  <si>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</si>
  <si>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</si>
  <si>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</si>
  <si>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</si>
  <si>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</si>
  <si>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</si>
  <si>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</si>
  <si>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</si>
  <si>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</si>
  <si>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</si>
  <si>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</si>
  <si>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</si>
  <si>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</si>
  <si>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</si>
  <si>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</si>
  <si>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</si>
  <si>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</si>
  <si>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</si>
  <si>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</si>
  <si>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</si>
  <si>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</si>
  <si>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</si>
  <si>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</si>
  <si>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</si>
  <si>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</si>
  <si>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</si>
  <si>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</si>
  <si>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</si>
  <si>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</si>
  <si>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</si>
  <si>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</si>
  <si>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</si>
  <si>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</si>
  <si>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</si>
  <si>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</si>
  <si>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</si>
  <si>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</si>
  <si>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</si>
  <si>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</si>
  <si>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</si>
  <si>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</si>
  <si>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</si>
  <si>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</si>
  <si>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</si>
  <si>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</si>
  <si>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</si>
  <si>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</si>
  <si>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</si>
  <si>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</si>
  <si>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</si>
  <si>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</si>
  <si>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</si>
  <si>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</si>
  <si>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</si>
  <si>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</si>
  <si>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</si>
  <si>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</si>
  <si>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</si>
  <si>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</si>
  <si>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</si>
  <si>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</si>
  <si>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</si>
  <si>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</si>
  <si>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</si>
  <si>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</si>
  <si>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</si>
  <si>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</si>
  <si>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</si>
  <si>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</si>
  <si>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</si>
  <si>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</si>
  <si>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</si>
  <si>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</si>
  <si>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</si>
  <si>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</si>
  <si>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</si>
  <si>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</si>
  <si>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</si>
  <si>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</si>
  <si>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</si>
  <si>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</si>
  <si>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</si>
  <si>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</si>
  <si>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</si>
  <si>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</si>
  <si>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</si>
  <si>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</si>
  <si>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</si>
  <si>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</si>
  <si>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</si>
  <si>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</si>
  <si>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</si>
  <si>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</si>
  <si>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</si>
  <si>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</si>
  <si>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</si>
  <si>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</si>
  <si>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</si>
  <si>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</si>
  <si>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</si>
  <si>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</si>
  <si>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</si>
  <si>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</si>
  <si>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</si>
  <si>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</si>
  <si>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</si>
  <si>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</si>
  <si>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</si>
  <si>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</si>
  <si>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</si>
  <si>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</si>
  <si>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</si>
  <si>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</si>
  <si>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</si>
  <si>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</si>
  <si>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</si>
  <si>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</si>
  <si>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</si>
  <si>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</si>
  <si>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</si>
  <si>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</si>
  <si>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</si>
  <si>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</si>
  <si>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</si>
  <si>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</si>
  <si>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</si>
  <si>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</si>
  <si>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</si>
  <si>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</si>
  <si>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</si>
  <si>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</si>
  <si>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</si>
  <si>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</si>
  <si>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</si>
  <si>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</si>
  <si>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</si>
  <si>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</si>
  <si>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</si>
  <si>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</si>
  <si>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</si>
  <si>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</si>
  <si>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</si>
  <si>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</si>
  <si>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</si>
  <si>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</si>
  <si>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</si>
  <si>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</si>
  <si>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</si>
  <si>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</si>
  <si>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</si>
  <si>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</si>
  <si>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</si>
  <si>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</si>
  <si>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</si>
  <si>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</si>
  <si>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</si>
  <si>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</si>
  <si>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</si>
  <si>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</si>
  <si>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</si>
  <si>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</si>
  <si>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</si>
  <si>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</si>
  <si>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</si>
  <si>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</si>
  <si>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</si>
  <si>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</si>
  <si>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</si>
  <si>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</si>
  <si>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</si>
  <si>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</si>
  <si>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</si>
  <si>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</si>
  <si>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</si>
  <si>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</si>
  <si>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</si>
  <si>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</si>
  <si>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</si>
  <si>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</si>
  <si>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</si>
  <si>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</si>
  <si>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</si>
  <si>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</si>
  <si>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</si>
  <si>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</si>
  <si>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</si>
  <si>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</si>
  <si>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</si>
  <si>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</si>
  <si>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</si>
  <si>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</si>
  <si>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</si>
  <si>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</si>
  <si>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</si>
  <si>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</si>
  <si>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</si>
  <si>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</si>
  <si>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</si>
  <si>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</si>
  <si>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</si>
  <si>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</si>
  <si>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</si>
  <si>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</si>
  <si>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</si>
  <si>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</si>
  <si>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</si>
  <si>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</si>
  <si>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</si>
  <si>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</si>
  <si>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</si>
  <si>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</si>
  <si>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</si>
  <si>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</si>
  <si>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</si>
  <si>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</si>
  <si>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</si>
  <si>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</si>
  <si>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</si>
  <si>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</si>
  <si>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</si>
  <si>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</si>
  <si>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</si>
  <si>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</si>
  <si>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</si>
  <si>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</si>
  <si>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</si>
  <si>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</si>
  <si>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</si>
  <si>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</si>
  <si>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</si>
  <si>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</si>
  <si>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</si>
  <si>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</si>
  <si>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</si>
  <si>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</si>
  <si>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</si>
  <si>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</si>
  <si>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</si>
  <si>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</si>
  <si>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</si>
  <si>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</si>
  <si>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</si>
  <si>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</si>
  <si>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</si>
  <si>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</si>
  <si>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</si>
  <si>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</si>
  <si>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</si>
  <si>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</si>
  <si>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</si>
  <si>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</si>
  <si>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</si>
  <si>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</si>
  <si>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</si>
  <si>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</si>
  <si>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</si>
  <si>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</si>
  <si>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</si>
  <si>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</si>
  <si>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</si>
  <si>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</si>
  <si>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</si>
  <si>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</si>
  <si>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</si>
  <si>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</si>
  <si>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</si>
  <si>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</si>
  <si>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</si>
  <si>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</si>
  <si>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</si>
  <si>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</si>
  <si>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</si>
  <si>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</si>
  <si>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</si>
  <si>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</si>
  <si>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</si>
  <si>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</si>
  <si>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</si>
  <si>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</si>
  <si>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</si>
  <si>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</si>
  <si>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</si>
  <si>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</si>
  <si>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</si>
  <si>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</si>
  <si>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</si>
  <si>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</si>
  <si>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</si>
  <si>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</si>
  <si>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</si>
  <si>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</si>
  <si>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</si>
  <si>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</si>
  <si>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</si>
  <si>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</si>
  <si>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</si>
  <si>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</si>
  <si>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</si>
  <si>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</si>
  <si>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</si>
  <si>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</si>
  <si>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</si>
  <si>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</si>
  <si>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</si>
  <si>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</si>
  <si>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</si>
  <si>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</si>
  <si>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</si>
  <si>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</si>
  <si>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</si>
  <si>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</si>
  <si>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</si>
  <si>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</si>
  <si>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</si>
  <si>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</si>
  <si>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</si>
  <si>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</si>
  <si>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</si>
  <si>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</si>
  <si>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</si>
  <si>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</si>
  <si>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</si>
  <si>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</si>
  <si>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</si>
  <si>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</si>
  <si>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</si>
  <si>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</si>
  <si>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</si>
  <si>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</si>
  <si>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</si>
  <si>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</si>
  <si>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</si>
  <si>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</si>
  <si>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</si>
  <si>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</si>
  <si>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</si>
  <si>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</si>
  <si>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</si>
  <si>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</si>
  <si>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</si>
  <si>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</si>
  <si>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</si>
  <si>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</si>
  <si>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</si>
  <si>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</si>
  <si>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</si>
  <si>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</si>
  <si>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</si>
  <si>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</si>
  <si>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</si>
  <si>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</si>
  <si>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</si>
  <si>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</si>
  <si>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</si>
  <si>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</si>
  <si>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</si>
  <si>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</si>
  <si>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</si>
  <si>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</si>
  <si>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</si>
  <si>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</si>
  <si>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</si>
  <si>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</si>
  <si>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</si>
  <si>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</si>
  <si>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</si>
  <si>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</si>
  <si>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</si>
  <si>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</si>
  <si>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</si>
  <si>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</si>
  <si>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</si>
  <si>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</si>
  <si>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</si>
  <si>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</si>
  <si>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</si>
  <si>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</si>
  <si>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</si>
  <si>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</si>
  <si>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</si>
  <si>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</si>
  <si>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</si>
  <si>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</si>
  <si>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</si>
  <si>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</si>
  <si>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</si>
  <si>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</si>
  <si>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</si>
  <si>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</si>
  <si>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</si>
  <si>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</si>
  <si>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</si>
  <si>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</si>
  <si>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</si>
  <si>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</si>
  <si>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</si>
  <si>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</si>
  <si>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</si>
  <si>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</si>
  <si>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</si>
  <si>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</si>
  <si>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</si>
  <si>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</si>
  <si>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</si>
  <si>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</si>
  <si>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</si>
  <si>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</si>
  <si>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</si>
  <si>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</si>
  <si>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</si>
  <si>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</si>
  <si>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</si>
  <si>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</si>
  <si>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</si>
  <si>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</si>
  <si>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</si>
  <si>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</si>
  <si>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</si>
  <si>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</si>
  <si>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</si>
  <si>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</si>
  <si>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</si>
  <si>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</si>
  <si>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</si>
  <si>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</si>
  <si>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</si>
  <si>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</si>
  <si>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</si>
  <si>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</si>
  <si>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</si>
  <si>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</si>
  <si>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</si>
  <si>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</si>
  <si>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</si>
  <si>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</si>
  <si>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</si>
  <si>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</si>
  <si>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</si>
  <si>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</si>
  <si>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</si>
  <si>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</si>
  <si>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</si>
  <si>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</si>
  <si>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</si>
  <si>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</si>
  <si>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</si>
  <si>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</si>
  <si>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</si>
  <si>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</si>
  <si>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</si>
  <si>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</si>
  <si>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</si>
  <si>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</si>
  <si>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</si>
  <si>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</si>
  <si>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</si>
  <si>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</si>
  <si>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</si>
  <si>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</si>
  <si>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</si>
  <si>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</si>
  <si>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</si>
  <si>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</si>
  <si>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</si>
  <si>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</si>
  <si>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</si>
  <si>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</si>
  <si>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</si>
  <si>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</si>
  <si>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</si>
  <si>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</si>
  <si>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</si>
  <si>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</si>
  <si>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</si>
  <si>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</si>
  <si>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</si>
  <si>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</si>
  <si>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</si>
  <si>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</si>
  <si>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</si>
  <si>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</si>
  <si>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</si>
  <si>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</si>
  <si>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</si>
  <si>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</si>
  <si>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</si>
  <si>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</si>
  <si>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</si>
  <si>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</si>
  <si>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</si>
  <si>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</si>
  <si>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</si>
  <si>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</si>
  <si>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</si>
  <si>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</si>
  <si>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</si>
  <si>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</si>
  <si>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</si>
  <si>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</si>
  <si>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</si>
  <si>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</si>
  <si>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</si>
  <si>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</si>
  <si>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</si>
  <si>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</si>
  <si>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</si>
  <si>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</si>
  <si>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</si>
  <si>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</si>
  <si>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</si>
  <si>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</si>
  <si>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</si>
  <si>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</si>
  <si>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</si>
  <si>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</si>
  <si>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</si>
  <si>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</si>
  <si>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</si>
  <si>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</si>
  <si>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</si>
  <si>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</si>
  <si>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</si>
  <si>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</si>
  <si>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</si>
  <si>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</si>
  <si>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</si>
  <si>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</si>
  <si>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</si>
  <si>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</si>
  <si>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</si>
  <si>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</si>
  <si>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</si>
  <si>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</si>
  <si>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</si>
  <si>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</si>
  <si>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</si>
  <si>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</si>
  <si>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</si>
  <si>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</si>
  <si>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</si>
  <si>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</si>
  <si>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</si>
  <si>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</si>
  <si>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</si>
  <si>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</si>
  <si>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</si>
  <si>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</si>
  <si>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</si>
  <si>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</si>
  <si>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</si>
  <si>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</si>
  <si>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</si>
  <si>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</si>
  <si>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</si>
  <si>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</si>
  <si>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</si>
  <si>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</si>
  <si>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</si>
  <si>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</si>
  <si>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</si>
  <si>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</si>
  <si>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</si>
  <si>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</si>
  <si>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</si>
  <si>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</si>
  <si>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</si>
  <si>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</si>
  <si>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</si>
  <si>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</si>
  <si>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</si>
  <si>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</si>
  <si>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</si>
  <si>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</si>
  <si>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</si>
  <si>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</si>
  <si>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</si>
  <si>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</si>
  <si>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</si>
  <si>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</si>
  <si>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</si>
  <si>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</si>
  <si>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</si>
  <si>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</si>
  <si>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</si>
  <si>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</si>
  <si>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</si>
  <si>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</si>
  <si>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</si>
  <si>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</si>
  <si>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</si>
  <si>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</si>
  <si>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</si>
  <si>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</si>
  <si>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</si>
  <si>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</si>
  <si>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</si>
  <si>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</si>
  <si>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</si>
  <si>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</si>
  <si>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</si>
  <si>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</si>
  <si>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</si>
  <si>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</si>
  <si>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</si>
  <si>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</si>
  <si>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</si>
  <si>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</si>
  <si>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</si>
  <si>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</si>
  <si>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</si>
  <si>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</si>
  <si>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</si>
  <si>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</si>
  <si>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</si>
  <si>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</si>
  <si>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</si>
  <si>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</si>
  <si>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</si>
  <si>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</si>
  <si>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</si>
  <si>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</si>
  <si>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</si>
  <si>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</si>
  <si>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</si>
  <si>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</si>
  <si>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</si>
  <si>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</si>
  <si>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</si>
  <si>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</si>
  <si>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</si>
  <si>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</si>
  <si>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</si>
  <si>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</si>
  <si>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</si>
  <si>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</si>
  <si>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</si>
  <si>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</si>
  <si>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</si>
  <si>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</si>
  <si>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</si>
  <si>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</si>
  <si>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</si>
  <si>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</si>
  <si>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</si>
  <si>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</si>
  <si>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</si>
  <si>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</si>
  <si>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</si>
  <si>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</si>
  <si>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</si>
  <si>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</si>
  <si>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</si>
  <si>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</si>
  <si>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</si>
  <si>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</si>
  <si>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</si>
  <si>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</si>
  <si>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</si>
  <si>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</si>
  <si>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</si>
  <si>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</si>
  <si>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</si>
  <si>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</si>
  <si>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</si>
  <si>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</si>
  <si>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</si>
  <si>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</si>
  <si>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</si>
  <si>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</si>
  <si>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</si>
  <si>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</si>
  <si>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</si>
  <si>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</si>
  <si>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</si>
  <si>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</si>
  <si>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</si>
  <si>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</si>
  <si>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</si>
  <si>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</si>
  <si>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</si>
  <si>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</si>
  <si>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</si>
  <si>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</si>
  <si>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</si>
  <si>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</si>
  <si>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</si>
  <si>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</si>
  <si>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</si>
  <si>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</si>
  <si>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</si>
  <si>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</si>
  <si>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</si>
  <si>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</si>
  <si>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</si>
  <si>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</si>
  <si>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</si>
  <si>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</si>
  <si>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</si>
  <si>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</si>
  <si>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</si>
  <si>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</si>
  <si>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</si>
  <si>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</si>
  <si>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</si>
  <si>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</si>
  <si>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</si>
  <si>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</si>
  <si>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</si>
  <si>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</si>
  <si>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</si>
  <si>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</si>
  <si>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</si>
  <si>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</si>
  <si>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</si>
  <si>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</si>
  <si>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</si>
  <si>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</si>
  <si>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</si>
  <si>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</si>
  <si>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</si>
  <si>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</si>
  <si>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</si>
  <si>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</si>
  <si>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</si>
  <si>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</si>
  <si>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</si>
  <si>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</si>
  <si>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</si>
  <si>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</si>
  <si>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</si>
  <si>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</si>
  <si>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</si>
  <si>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</si>
  <si>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</si>
  <si>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</si>
  <si>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</si>
  <si>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</si>
  <si>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</si>
  <si>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</si>
  <si>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</si>
  <si>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</si>
  <si>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</si>
  <si>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</si>
  <si>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</si>
  <si>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</si>
  <si>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</si>
  <si>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</si>
  <si>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</si>
  <si>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</si>
  <si>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</si>
  <si>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</si>
  <si>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</si>
  <si>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</si>
  <si>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</si>
  <si>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</si>
  <si>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</si>
  <si>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</si>
  <si>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</si>
  <si>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</si>
  <si>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</si>
  <si>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</si>
  <si>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</si>
  <si>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</si>
  <si>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</si>
  <si>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</si>
  <si>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</si>
  <si>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</si>
  <si>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</si>
  <si>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</si>
  <si>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</si>
  <si>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</si>
  <si>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</si>
  <si>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</si>
  <si>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</si>
  <si>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</si>
  <si>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</si>
  <si>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</si>
  <si>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</si>
  <si>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</si>
  <si>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</si>
  <si>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</si>
  <si>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</si>
  <si>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</si>
  <si>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</si>
  <si>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</si>
  <si>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</si>
  <si>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</si>
  <si>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</si>
  <si>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</si>
  <si>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</si>
  <si>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</si>
  <si>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</si>
  <si>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</si>
  <si>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</si>
  <si>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</si>
  <si>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</si>
  <si>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</si>
  <si>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</si>
  <si>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</si>
  <si>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</si>
  <si>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</si>
  <si>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</si>
  <si>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</si>
  <si>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</si>
  <si>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</si>
  <si>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</si>
  <si>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</si>
  <si>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</si>
  <si>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</si>
  <si>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</si>
  <si>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</si>
  <si>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</si>
  <si>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</si>
  <si>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</si>
  <si>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</si>
  <si>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</si>
  <si>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</si>
  <si>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</si>
  <si>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</si>
  <si>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</si>
  <si>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</si>
  <si>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</si>
  <si>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</si>
  <si>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</si>
  <si>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</si>
  <si>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</si>
  <si>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</si>
  <si>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</si>
  <si>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</si>
  <si>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</si>
  <si>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</si>
  <si>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</si>
  <si>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</si>
  <si>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</si>
  <si>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</si>
  <si>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</si>
  <si>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</si>
  <si>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</si>
  <si>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</si>
  <si>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</si>
  <si>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</si>
  <si>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</si>
  <si>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</si>
  <si>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</si>
  <si>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</si>
  <si>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</si>
  <si>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</si>
  <si>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</si>
  <si>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</si>
  <si>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</si>
  <si>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</si>
  <si>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</si>
  <si>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</si>
  <si>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</si>
  <si>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</si>
  <si>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</si>
  <si>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</si>
  <si>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</si>
  <si>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</si>
  <si>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</si>
  <si>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</si>
  <si>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</si>
  <si>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</si>
  <si>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</si>
  <si>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</si>
  <si>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</si>
  <si>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</si>
  <si>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</si>
  <si>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</si>
  <si>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</si>
  <si>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</si>
  <si>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</si>
  <si>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</si>
  <si>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</si>
  <si>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</si>
  <si>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</si>
  <si>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</si>
  <si>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</si>
  <si>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</si>
  <si>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</si>
  <si>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</si>
  <si>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</si>
  <si>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</si>
  <si>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</si>
  <si>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</si>
  <si>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</si>
  <si>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</si>
  <si>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</si>
  <si>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</si>
  <si>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</si>
  <si>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</si>
  <si>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</si>
  <si>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</si>
  <si>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</si>
  <si>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</si>
  <si>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</si>
  <si>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</si>
  <si>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</si>
  <si>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</si>
  <si>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</si>
  <si>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</si>
  <si>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</si>
  <si>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</si>
  <si>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</si>
  <si>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</si>
  <si>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</si>
  <si>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</si>
  <si>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</si>
  <si>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</si>
  <si>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</si>
  <si>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</si>
  <si>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</si>
  <si>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</si>
  <si>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</si>
  <si>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</si>
  <si>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</si>
  <si>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</si>
  <si>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</si>
  <si>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</si>
  <si>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</si>
  <si>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</si>
  <si>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</si>
  <si>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</si>
  <si>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</si>
  <si>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</si>
  <si>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</si>
  <si>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</si>
  <si>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</si>
  <si>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</si>
  <si>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</si>
  <si>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</si>
  <si>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</si>
  <si>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</si>
  <si>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</si>
  <si>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</si>
  <si>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</si>
  <si>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</si>
  <si>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</si>
  <si>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</si>
  <si>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</si>
  <si>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</si>
  <si>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</si>
  <si>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</si>
  <si>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</si>
  <si>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</si>
  <si>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</si>
  <si>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</si>
  <si>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</si>
  <si>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</si>
  <si>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</si>
  <si>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</si>
  <si>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</si>
  <si>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</si>
  <si>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</si>
  <si>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</si>
  <si>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</si>
  <si>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</si>
  <si>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</si>
  <si>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</si>
  <si>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</si>
  <si>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</si>
  <si>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</si>
  <si>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</si>
  <si>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</si>
  <si>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</si>
  <si>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</si>
  <si>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</si>
  <si>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</si>
  <si>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</si>
  <si>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</si>
  <si>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</si>
  <si>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</si>
  <si>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</si>
  <si>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</si>
  <si>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</si>
  <si>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</si>
  <si>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</si>
  <si>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</si>
  <si>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</si>
  <si>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</si>
  <si>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</si>
  <si>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</si>
  <si>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</si>
  <si>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</si>
  <si>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</si>
  <si>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</si>
  <si>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</si>
  <si>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</si>
  <si>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</si>
  <si>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</si>
  <si>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</si>
  <si>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</si>
  <si>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</si>
  <si>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</si>
  <si>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</si>
  <si>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</si>
  <si>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</si>
  <si>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</si>
  <si>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</si>
  <si>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</si>
  <si>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</si>
  <si>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</si>
  <si>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</si>
  <si>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</si>
  <si>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</si>
  <si>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</si>
  <si>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</si>
  <si>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</si>
  <si>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</si>
  <si>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</si>
  <si>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</si>
  <si>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</si>
  <si>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</si>
  <si>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</si>
  <si>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</si>
  <si>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</si>
  <si>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</si>
  <si>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</si>
  <si>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</si>
  <si>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</si>
  <si>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</si>
  <si>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</si>
  <si>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</si>
  <si>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</si>
  <si>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</si>
  <si>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</si>
  <si>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</si>
  <si>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</si>
  <si>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</si>
  <si>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</si>
  <si>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</si>
  <si>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</si>
  <si>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</si>
  <si>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</si>
  <si>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</si>
  <si>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</si>
  <si>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</si>
  <si>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</si>
  <si>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</si>
  <si>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</si>
  <si>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</si>
  <si>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</si>
  <si>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</si>
  <si>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</si>
  <si>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</si>
  <si>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</si>
  <si>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</si>
  <si>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</si>
  <si>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</si>
  <si>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</si>
  <si>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</si>
  <si>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</si>
  <si>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</si>
  <si>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</si>
  <si>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</si>
  <si>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</si>
  <si>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</si>
  <si>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</si>
  <si>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</si>
  <si>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</si>
  <si>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</si>
  <si>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</si>
  <si>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</si>
  <si>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</si>
  <si>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</si>
  <si>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</si>
  <si>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</si>
  <si>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</si>
  <si>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</si>
  <si>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</si>
  <si>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</si>
  <si>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</si>
  <si>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</si>
  <si>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</si>
  <si>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</si>
  <si>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</si>
  <si>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</si>
  <si>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</si>
  <si>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</si>
  <si>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</si>
  <si>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</si>
  <si>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</si>
  <si>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</si>
  <si>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</si>
  <si>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</si>
  <si>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</si>
  <si>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</si>
  <si>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</si>
  <si>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</si>
  <si>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</si>
  <si>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</si>
  <si>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</si>
  <si>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</si>
  <si>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</si>
  <si>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</si>
  <si>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</si>
  <si>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</si>
  <si>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</si>
  <si>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</si>
  <si>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</si>
  <si>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</si>
  <si>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</si>
  <si>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</si>
  <si>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</si>
  <si>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</si>
  <si>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</si>
  <si>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</si>
  <si>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</si>
  <si>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</si>
  <si>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</si>
  <si>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</si>
  <si>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</si>
  <si>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</si>
  <si>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</si>
  <si>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</si>
  <si>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</si>
  <si>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</si>
  <si>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</si>
  <si>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</si>
  <si>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</si>
  <si>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</si>
  <si>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</si>
  <si>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</si>
  <si>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</si>
  <si>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</si>
  <si>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</si>
  <si>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</si>
  <si>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</si>
  <si>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</si>
  <si>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</si>
  <si>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</si>
  <si>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</si>
  <si>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</si>
  <si>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</si>
  <si>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</si>
  <si>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</si>
  <si>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</si>
  <si>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</si>
  <si>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</si>
  <si>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</si>
  <si>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</si>
  <si>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</si>
  <si>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</si>
  <si>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</si>
  <si>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</si>
  <si>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</si>
  <si>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</si>
  <si>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</si>
  <si>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</si>
  <si>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</si>
  <si>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</si>
  <si>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</si>
  <si>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</si>
  <si>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</si>
  <si>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</si>
  <si>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</si>
  <si>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</si>
  <si>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</si>
  <si>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</si>
  <si>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</si>
  <si>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</si>
  <si>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</si>
  <si>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</si>
  <si>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</si>
  <si>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</si>
  <si>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</si>
  <si>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</si>
  <si>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</si>
  <si>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</si>
  <si>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</si>
  <si>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</si>
  <si>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</si>
  <si>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</si>
  <si>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</si>
  <si>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</si>
  <si>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</si>
  <si>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</si>
  <si>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</si>
  <si>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</si>
  <si>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</si>
  <si>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</si>
  <si>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</si>
  <si>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</si>
  <si>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</si>
  <si>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</si>
  <si>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</si>
  <si>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</si>
  <si>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</si>
  <si>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</si>
  <si>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</si>
  <si>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</si>
  <si>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</si>
  <si>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</si>
  <si>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</si>
  <si>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</si>
  <si>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</si>
  <si>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</si>
  <si>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</si>
  <si>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</si>
  <si>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</si>
  <si>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</si>
  <si>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</si>
  <si>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</si>
  <si>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</si>
  <si>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</si>
  <si>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</si>
  <si>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</si>
  <si>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</si>
  <si>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</si>
  <si>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</si>
  <si>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</si>
  <si>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</si>
  <si>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</si>
  <si>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</si>
  <si>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</si>
  <si>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</si>
  <si>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</si>
  <si>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</si>
  <si>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</si>
  <si>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</si>
  <si>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</si>
  <si>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</si>
  <si>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</si>
  <si>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</si>
  <si>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</si>
  <si>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</si>
  <si>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</si>
  <si>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</si>
  <si>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</si>
  <si>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</si>
  <si>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</si>
  <si>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</si>
  <si>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</si>
  <si>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</si>
  <si>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</si>
  <si>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</si>
  <si>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</si>
  <si>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</si>
  <si>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</si>
  <si>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</si>
  <si>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</si>
  <si>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</si>
  <si>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</si>
  <si>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</si>
  <si>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</si>
  <si>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</si>
  <si>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</si>
  <si>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</si>
  <si>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</si>
  <si>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</si>
  <si>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</si>
  <si>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</si>
  <si>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</si>
  <si>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</si>
  <si>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</si>
  <si>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</si>
  <si>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</si>
  <si>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</si>
  <si>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</si>
  <si>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</si>
  <si>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</si>
  <si>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</si>
  <si>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</si>
  <si>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</si>
  <si>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</si>
  <si>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</si>
  <si>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</si>
  <si>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</si>
  <si>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</si>
  <si>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</si>
  <si>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</si>
  <si>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</si>
  <si>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</si>
  <si>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</si>
  <si>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</si>
  <si>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</si>
  <si>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</si>
  <si>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</si>
  <si>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</si>
  <si>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</si>
  <si>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</si>
  <si>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</si>
  <si>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</si>
  <si>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</si>
  <si>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</si>
  <si>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</si>
  <si>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</si>
  <si>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</si>
  <si>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</si>
  <si>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</si>
  <si>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</si>
  <si>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</si>
  <si>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</si>
  <si>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</si>
  <si>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</si>
  <si>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</si>
  <si>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</si>
  <si>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</si>
  <si>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</si>
  <si>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</si>
  <si>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</si>
  <si>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</si>
  <si>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</si>
  <si>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</si>
  <si>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</si>
  <si>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</si>
  <si>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</si>
  <si>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</si>
  <si>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</si>
  <si>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</si>
  <si>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</si>
  <si>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</si>
  <si>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</si>
  <si>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</si>
  <si>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</si>
  <si>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</si>
  <si>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</si>
  <si>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</si>
  <si>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</si>
  <si>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</si>
  <si>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</si>
  <si>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</si>
  <si>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</si>
  <si>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</si>
  <si>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</si>
  <si>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</si>
  <si>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</si>
  <si>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</si>
  <si>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</si>
  <si>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</si>
  <si>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</si>
  <si>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</si>
  <si>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</si>
  <si>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</si>
  <si>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</si>
  <si>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</si>
  <si>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</si>
  <si>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</si>
  <si>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</si>
  <si>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</si>
  <si>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</si>
  <si>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</si>
  <si>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</si>
  <si>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</si>
  <si>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</si>
  <si>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</si>
  <si>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</si>
  <si>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</si>
  <si>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</si>
  <si>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</si>
  <si>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</si>
  <si>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</si>
  <si>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</si>
  <si>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</si>
  <si>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</si>
  <si>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</si>
  <si>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</si>
  <si>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</si>
  <si>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</si>
  <si>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</si>
  <si>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</si>
  <si>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</si>
  <si>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</si>
  <si>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</si>
  <si>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</si>
  <si>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</si>
  <si>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</si>
  <si>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</si>
  <si>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</si>
  <si>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</si>
  <si>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</si>
  <si>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</si>
  <si>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</si>
  <si>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</si>
  <si>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</si>
  <si>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</si>
  <si>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</si>
  <si>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</si>
  <si>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</si>
  <si>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</si>
  <si>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</si>
  <si>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</si>
  <si>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</si>
  <si>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</si>
  <si>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</si>
  <si>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</si>
  <si>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</si>
  <si>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</si>
  <si>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</si>
  <si>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</si>
  <si>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</si>
  <si>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</si>
  <si>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</si>
  <si>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</si>
  <si>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</si>
  <si>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</si>
  <si>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</si>
  <si>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</si>
  <si>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</si>
  <si>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</si>
  <si>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</si>
  <si>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</si>
  <si>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</si>
  <si>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</si>
  <si>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</si>
  <si>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</si>
  <si>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</si>
  <si>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</si>
  <si>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</si>
  <si>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</si>
  <si>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</si>
  <si>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</si>
  <si>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</si>
  <si>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</si>
  <si>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</si>
  <si>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</si>
  <si>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</si>
  <si>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</si>
  <si>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</si>
  <si>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</si>
  <si>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</si>
  <si>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</si>
  <si>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</si>
  <si>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</si>
  <si>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</si>
  <si>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</si>
  <si>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</si>
  <si>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</si>
  <si>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</si>
  <si>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</si>
  <si>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</si>
  <si>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</si>
  <si>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</si>
  <si>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</si>
  <si>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</si>
  <si>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</si>
  <si>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</si>
  <si>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</si>
  <si>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</si>
  <si>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</si>
  <si>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</si>
  <si>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</si>
  <si>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</si>
  <si>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</si>
  <si>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</si>
  <si>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</si>
  <si>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</si>
  <si>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</si>
  <si>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</si>
  <si>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</si>
  <si>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</si>
  <si>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</si>
  <si>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</si>
  <si>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</si>
  <si>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</si>
  <si>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</si>
  <si>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</si>
  <si>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</si>
  <si>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</si>
  <si>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</si>
  <si>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</si>
  <si>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</si>
  <si>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</si>
  <si>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</si>
  <si>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</si>
  <si>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</si>
  <si>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</si>
  <si>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</si>
  <si>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</si>
  <si>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</si>
  <si>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</si>
  <si>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</si>
  <si>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</si>
  <si>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</si>
  <si>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</si>
  <si>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</si>
  <si>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</si>
  <si>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</si>
  <si>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</si>
  <si>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</si>
  <si>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</si>
  <si>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</si>
  <si>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</si>
  <si>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</si>
  <si>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</si>
  <si>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</si>
  <si>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</si>
  <si>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</si>
  <si>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</si>
  <si>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</si>
  <si>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</si>
  <si>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</si>
  <si>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</si>
  <si>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</si>
  <si>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</si>
  <si>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</si>
  <si>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</si>
  <si>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</si>
  <si>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</si>
  <si>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</si>
  <si>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</si>
  <si>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</si>
  <si>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</si>
  <si>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</si>
  <si>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</si>
  <si>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</si>
  <si>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</si>
  <si>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</si>
  <si>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</si>
  <si>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</si>
  <si>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</si>
  <si>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</si>
  <si>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</si>
  <si>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</si>
  <si>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</si>
  <si>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</si>
  <si>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</si>
  <si>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</si>
  <si>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</si>
  <si>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</si>
  <si>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</si>
  <si>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</si>
  <si>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</si>
  <si>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</si>
  <si>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</si>
  <si>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</si>
  <si>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</si>
  <si>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</si>
  <si>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</si>
  <si>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</si>
  <si>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</si>
  <si>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</si>
  <si>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</si>
  <si>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</si>
  <si>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</si>
  <si>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</si>
  <si>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</si>
  <si>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</si>
  <si>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</si>
  <si>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</si>
  <si>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</si>
  <si>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</si>
  <si>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</si>
  <si>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</si>
  <si>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</si>
  <si>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</si>
  <si>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</si>
  <si>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</si>
  <si>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</si>
  <si>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</si>
  <si>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</si>
  <si>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</si>
  <si>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</si>
  <si>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</si>
  <si>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</si>
  <si>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</si>
  <si>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</si>
  <si>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</si>
  <si>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</si>
  <si>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</si>
  <si>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</si>
  <si>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</si>
  <si>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</si>
  <si>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</si>
  <si>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</si>
  <si>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</si>
  <si>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</si>
  <si>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</si>
  <si>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</si>
  <si>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</si>
  <si>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</si>
  <si>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</si>
  <si>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</si>
  <si>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</si>
  <si>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</si>
  <si>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</si>
  <si>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</si>
  <si>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</si>
  <si>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</si>
  <si>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</si>
  <si>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</si>
  <si>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</si>
  <si>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</si>
  <si>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</si>
  <si>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</si>
  <si>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</si>
  <si>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</si>
  <si>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</si>
  <si>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</si>
  <si>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</si>
  <si>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</si>
  <si>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</si>
  <si>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</si>
  <si>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</si>
  <si>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</si>
  <si>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</si>
  <si>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</si>
  <si>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</si>
  <si>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</si>
  <si>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</si>
  <si>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</si>
  <si>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</si>
  <si>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</si>
  <si>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</si>
  <si>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</si>
  <si>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</si>
  <si>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</si>
  <si>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</si>
  <si>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</si>
  <si>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</si>
  <si>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</si>
  <si>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</si>
  <si>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</si>
  <si>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</si>
  <si>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</si>
  <si>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</si>
  <si>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</si>
  <si>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</si>
  <si>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</si>
  <si>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</si>
  <si>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</si>
  <si>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</si>
  <si>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</si>
  <si>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</si>
  <si>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</si>
  <si>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</si>
  <si>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</si>
  <si>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</si>
  <si>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</si>
  <si>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</si>
  <si>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</si>
  <si>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</si>
  <si>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</si>
  <si>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</si>
  <si>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</si>
  <si>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</si>
  <si>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</si>
  <si>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</si>
  <si>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</si>
  <si>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</si>
  <si>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</si>
  <si>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</si>
  <si>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</si>
  <si>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</si>
  <si>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</si>
  <si>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</si>
  <si>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</si>
  <si>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</si>
  <si>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</si>
  <si>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</si>
  <si>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</si>
  <si>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</si>
  <si>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</si>
  <si>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</si>
  <si>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</si>
  <si>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</si>
  <si>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</si>
  <si>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</si>
  <si>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</si>
  <si>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</si>
  <si>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</si>
  <si>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</si>
  <si>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</si>
  <si>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</si>
  <si>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</si>
  <si>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</si>
  <si>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</si>
  <si>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</si>
  <si>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</si>
  <si>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</si>
  <si>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</si>
  <si>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</si>
  <si>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</si>
  <si>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</si>
  <si>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</si>
  <si>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</si>
  <si>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</si>
  <si>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</si>
  <si>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</si>
  <si>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</si>
  <si>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</si>
  <si>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</si>
  <si>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</si>
  <si>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</si>
  <si>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</si>
  <si>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</si>
  <si>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</si>
  <si>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</si>
  <si>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</si>
  <si>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</si>
  <si>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</si>
  <si>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</si>
  <si>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</si>
  <si>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</si>
  <si>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</si>
  <si>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</si>
  <si>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</si>
  <si>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</si>
  <si>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</si>
  <si>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</si>
  <si>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</si>
  <si>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</si>
  <si>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</si>
  <si>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</si>
  <si>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</si>
  <si>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</si>
  <si>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</si>
  <si>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</si>
  <si>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</si>
  <si>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</si>
  <si>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</si>
  <si>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</si>
  <si>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</si>
  <si>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</si>
  <si>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</si>
  <si>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</si>
  <si>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</si>
  <si>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</si>
  <si>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</si>
  <si>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</si>
  <si>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</si>
  <si>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</si>
  <si>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</si>
  <si>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</si>
  <si>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</si>
  <si>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</si>
  <si>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</si>
  <si>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</si>
  <si>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</si>
  <si>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</si>
  <si>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</si>
  <si>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</si>
  <si>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</si>
  <si>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</si>
  <si>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</si>
  <si>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</si>
  <si>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</si>
  <si>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</si>
  <si>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</si>
  <si>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</si>
  <si>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</si>
  <si>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</si>
  <si>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</si>
  <si>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</si>
  <si>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</si>
  <si>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</si>
  <si>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</si>
  <si>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</si>
  <si>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</si>
  <si>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</si>
  <si>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</si>
  <si>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</si>
  <si>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</si>
  <si>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</si>
  <si>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</si>
  <si>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</si>
  <si>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</si>
  <si>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</si>
  <si>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</si>
  <si>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</si>
  <si>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</si>
  <si>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</si>
  <si>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</si>
  <si>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</si>
  <si>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</si>
  <si>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</si>
  <si>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</si>
  <si>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</si>
  <si>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</si>
  <si>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</si>
  <si>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</si>
  <si>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</si>
  <si>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</si>
  <si>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</si>
  <si>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</si>
  <si>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</si>
  <si>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</si>
  <si>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</si>
  <si>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</si>
  <si>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</si>
  <si>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</si>
  <si>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</si>
  <si>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</si>
  <si>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</si>
  <si>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</si>
  <si>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</si>
  <si>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</si>
  <si>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</si>
  <si>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</si>
  <si>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</si>
  <si>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</si>
  <si>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</si>
  <si>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</si>
  <si>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</si>
  <si>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</si>
  <si>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</si>
  <si>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</si>
  <si>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</si>
  <si>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</si>
  <si>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</si>
  <si>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</si>
  <si>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</si>
  <si>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</si>
  <si>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</si>
  <si>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</si>
  <si>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</si>
  <si>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</si>
  <si>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</si>
  <si>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</si>
  <si>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</si>
  <si>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</si>
  <si>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</si>
  <si>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</si>
  <si>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</si>
  <si>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</si>
  <si>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</si>
  <si>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</si>
  <si>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</si>
  <si>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</si>
  <si>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</si>
  <si>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</si>
  <si>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</si>
  <si>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</si>
  <si>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</si>
  <si>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</si>
  <si>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</si>
  <si>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</si>
  <si>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</si>
  <si>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</si>
  <si>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</si>
  <si>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</si>
  <si>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</si>
  <si>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</si>
  <si>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</si>
  <si>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</si>
  <si>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</si>
  <si>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</si>
  <si>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</si>
  <si>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</si>
  <si>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</si>
  <si>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</si>
  <si>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</si>
  <si>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</si>
  <si>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</si>
  <si>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</si>
  <si>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</si>
  <si>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</si>
  <si>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</si>
  <si>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</si>
  <si>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</si>
  <si>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</si>
  <si>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</si>
  <si>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</si>
  <si>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</si>
  <si>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</si>
  <si>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</si>
  <si>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</si>
  <si>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</si>
  <si>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</si>
  <si>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</si>
  <si>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</si>
  <si>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</si>
  <si>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</si>
  <si>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</si>
  <si>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</si>
  <si>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</si>
  <si>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</si>
  <si>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</si>
  <si>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</si>
  <si>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</si>
  <si>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</si>
  <si>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</si>
  <si>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</si>
  <si>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</si>
  <si>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</si>
  <si>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</si>
  <si>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</si>
  <si>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</si>
  <si>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</si>
  <si>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</si>
  <si>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</si>
  <si>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</si>
  <si>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</si>
  <si>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</si>
  <si>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</si>
  <si>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</si>
  <si>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</si>
  <si>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</si>
  <si>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</si>
  <si>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</si>
  <si>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</si>
  <si>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</si>
  <si>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</si>
  <si>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</si>
  <si>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</si>
  <si>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</si>
  <si>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</si>
  <si>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</si>
  <si>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</si>
  <si>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</si>
  <si>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</si>
  <si>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</si>
  <si>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</si>
  <si>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</si>
  <si>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</si>
  <si>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</si>
  <si>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</si>
  <si>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</si>
  <si>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</si>
  <si>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</si>
  <si>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</si>
  <si>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</si>
  <si>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</si>
  <si>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</si>
  <si>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</si>
  <si>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</si>
  <si>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</si>
  <si>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</si>
  <si>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</si>
  <si>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</si>
  <si>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</si>
  <si>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</si>
  <si>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</si>
  <si>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</si>
  <si>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</si>
  <si>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</si>
  <si>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</si>
  <si>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</si>
  <si>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</si>
  <si>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</si>
  <si>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</si>
  <si>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</si>
  <si>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</si>
  <si>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</si>
  <si>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</si>
  <si>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</si>
  <si>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</si>
  <si>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</si>
  <si>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</si>
  <si>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</si>
  <si>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</si>
  <si>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</si>
  <si>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</si>
  <si>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</si>
  <si>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</si>
  <si>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</si>
  <si>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</si>
  <si>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</si>
  <si>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</si>
  <si>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</si>
  <si>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</si>
  <si>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</si>
  <si>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</si>
  <si>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</si>
  <si>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</si>
  <si>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</si>
  <si>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</si>
  <si>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</si>
  <si>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</si>
  <si>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</si>
  <si>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</si>
  <si>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</si>
  <si>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</si>
  <si>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</si>
  <si>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</si>
  <si>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</si>
  <si>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</si>
  <si>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</si>
  <si>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</si>
  <si>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</si>
  <si>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</si>
  <si>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</si>
  <si>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</si>
  <si>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</si>
  <si>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</si>
  <si>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</si>
  <si>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</si>
  <si>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</si>
  <si>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</si>
  <si>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</si>
  <si>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</si>
  <si>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</si>
  <si>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</si>
  <si>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</si>
  <si>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</si>
  <si>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</si>
  <si>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</si>
  <si>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</si>
  <si>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</si>
  <si>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</si>
  <si>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</si>
  <si>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</si>
  <si>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</si>
  <si>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</si>
  <si>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</si>
  <si>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</si>
  <si>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</si>
  <si>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</si>
  <si>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</si>
  <si>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</si>
  <si>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</si>
  <si>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</si>
  <si>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</si>
  <si>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</si>
  <si>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</si>
  <si>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</si>
  <si>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</si>
  <si>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</si>
  <si>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</si>
  <si>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</si>
  <si>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</si>
  <si>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</si>
  <si>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</si>
  <si>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</si>
  <si>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</si>
  <si>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</si>
  <si>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</si>
  <si>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</si>
  <si>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</si>
  <si>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</si>
  <si>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</si>
  <si>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</si>
  <si>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</si>
  <si>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</si>
  <si>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</si>
  <si>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</si>
  <si>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</si>
  <si>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</si>
  <si>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</si>
  <si>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</si>
  <si>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</si>
  <si>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</si>
  <si>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</si>
  <si>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</si>
  <si>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</si>
  <si>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</si>
  <si>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</si>
  <si>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</si>
  <si>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</si>
  <si>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</si>
  <si>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</si>
  <si>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</si>
  <si>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</si>
  <si>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</si>
  <si>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</si>
  <si>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</si>
  <si>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</si>
  <si>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</si>
  <si>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</si>
  <si>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</si>
  <si>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</si>
  <si>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</si>
  <si>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</si>
  <si>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</si>
  <si>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</si>
  <si>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</si>
  <si>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</si>
  <si>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</si>
  <si>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</si>
  <si>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</si>
  <si>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</si>
  <si>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</si>
  <si>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</si>
  <si>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</si>
  <si>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</si>
  <si>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</si>
  <si>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</si>
  <si>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</si>
  <si>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</si>
  <si>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</si>
  <si>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</si>
  <si>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</si>
  <si>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</si>
  <si>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</si>
  <si>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</si>
  <si>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</si>
  <si>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</si>
  <si>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</si>
  <si>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</si>
  <si>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</si>
  <si>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</si>
  <si>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</si>
  <si>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</si>
  <si>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</si>
  <si>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</si>
  <si>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</si>
  <si>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</si>
  <si>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</si>
  <si>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</si>
  <si>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</si>
  <si>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</si>
  <si>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</si>
  <si>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</si>
  <si>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</si>
  <si>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</si>
  <si>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</si>
  <si>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</si>
  <si>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</si>
  <si>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</si>
  <si>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</si>
  <si>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</si>
  <si>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</si>
  <si>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</si>
  <si>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</si>
  <si>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</si>
  <si>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</si>
  <si>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</si>
  <si>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</si>
  <si>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</si>
  <si>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</si>
  <si>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</si>
  <si>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</si>
  <si>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</si>
  <si>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</si>
  <si>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</si>
  <si>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</si>
  <si>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</si>
  <si>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</si>
  <si>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</si>
  <si>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</si>
  <si>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</si>
  <si>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</si>
  <si>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</si>
  <si>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</si>
  <si>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</si>
  <si>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</si>
  <si>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</si>
  <si>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</si>
  <si>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</si>
  <si>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</si>
  <si>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</si>
  <si>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</si>
  <si>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</si>
  <si>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</si>
  <si>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</si>
  <si>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</si>
  <si>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</si>
  <si>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</si>
  <si>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</si>
  <si>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</si>
  <si>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</si>
  <si>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</si>
  <si>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</si>
  <si>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</si>
  <si>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</si>
  <si>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</si>
  <si>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</si>
  <si>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</si>
  <si>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</si>
  <si>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</si>
  <si>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</si>
  <si>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</si>
  <si>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</si>
  <si>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</si>
  <si>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</si>
  <si>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</si>
  <si>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</si>
  <si>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</si>
  <si>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</si>
  <si>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</si>
  <si>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</si>
  <si>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</si>
  <si>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</si>
  <si>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</si>
  <si>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</si>
  <si>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</si>
  <si>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</si>
  <si>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</si>
  <si>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</si>
  <si>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</si>
  <si>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</si>
  <si>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</si>
  <si>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</si>
  <si>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</si>
  <si>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</si>
  <si>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</si>
  <si>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</si>
  <si>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</si>
  <si>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</si>
  <si>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</si>
  <si>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</si>
  <si>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</si>
  <si>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</si>
  <si>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</si>
  <si>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</si>
  <si>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</si>
  <si>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</si>
  <si>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</si>
  <si>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</si>
  <si>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</si>
  <si>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</si>
  <si>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</si>
  <si>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</si>
  <si>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</si>
  <si>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</si>
  <si>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</si>
  <si>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</si>
  <si>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</si>
  <si>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</si>
  <si>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</si>
  <si>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</si>
  <si>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</si>
  <si>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</si>
  <si>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</si>
  <si>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</si>
  <si>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</si>
  <si>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</si>
  <si>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</si>
  <si>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</si>
  <si>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</si>
  <si>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</si>
  <si>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</si>
  <si>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</si>
  <si>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</si>
  <si>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</si>
  <si>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</si>
  <si>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</si>
  <si>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</si>
  <si>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</si>
  <si>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</si>
  <si>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</si>
  <si>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</si>
  <si>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</si>
  <si>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</si>
  <si>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</si>
  <si>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</si>
  <si>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</si>
  <si>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</si>
  <si>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</si>
  <si>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</si>
  <si>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</si>
  <si>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</si>
  <si>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</si>
  <si>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</si>
  <si>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</si>
  <si>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</si>
  <si>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</si>
  <si>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</si>
  <si>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</si>
  <si>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</si>
  <si>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</si>
  <si>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</si>
  <si>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</si>
  <si>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</si>
  <si>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</si>
  <si>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</si>
  <si>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</si>
  <si>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</si>
  <si>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</si>
  <si>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</si>
  <si>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</si>
  <si>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</si>
  <si>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</si>
  <si>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</si>
  <si>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</si>
  <si>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</si>
  <si>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</si>
  <si>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</si>
  <si>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</si>
  <si>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</si>
  <si>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</si>
  <si>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</si>
  <si>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</si>
  <si>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</si>
  <si>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</si>
  <si>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</si>
  <si>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</si>
  <si>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</si>
  <si>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</si>
  <si>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</si>
  <si>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</si>
  <si>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</si>
  <si>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</si>
  <si>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</si>
  <si>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</si>
  <si>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</si>
  <si>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</si>
  <si>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</si>
  <si>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</si>
  <si>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</si>
  <si>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</si>
  <si>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</si>
  <si>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</si>
  <si>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</si>
  <si>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</si>
  <si>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</si>
  <si>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</si>
  <si>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</si>
  <si>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</si>
  <si>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</si>
  <si>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</si>
  <si>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</si>
  <si>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</si>
  <si>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</si>
  <si>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</si>
  <si>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</si>
  <si>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</si>
  <si>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</si>
  <si>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</si>
  <si>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</si>
  <si>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</si>
  <si>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</si>
  <si>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</si>
  <si>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</si>
  <si>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</si>
  <si>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</si>
  <si>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</si>
  <si>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</si>
  <si>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</si>
  <si>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</si>
  <si>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</si>
  <si>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</si>
  <si>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</si>
  <si>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</si>
  <si>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</si>
  <si>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</si>
  <si>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</si>
  <si>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</si>
  <si>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</si>
  <si>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</si>
  <si>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</si>
  <si>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</si>
  <si>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</si>
  <si>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</si>
  <si>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</si>
  <si>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</si>
  <si>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</si>
  <si>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</si>
  <si>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</si>
  <si>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</si>
  <si>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</si>
  <si>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</si>
  <si>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</si>
  <si>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</si>
  <si>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</si>
  <si>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</si>
  <si>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</si>
  <si>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</si>
  <si>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</si>
  <si>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</si>
  <si>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</si>
  <si>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</si>
  <si>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</si>
  <si>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</si>
  <si>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</si>
  <si>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</si>
  <si>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</si>
  <si>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</si>
  <si>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</si>
  <si>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</si>
  <si>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</si>
  <si>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</si>
  <si>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</si>
  <si>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</si>
  <si>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</si>
  <si>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</si>
  <si>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</si>
  <si>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</si>
  <si>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</si>
  <si>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</si>
  <si>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</si>
  <si>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</si>
  <si>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</si>
  <si>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</si>
  <si>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</si>
  <si>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</si>
  <si>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</si>
  <si>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</si>
  <si>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</si>
  <si>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</si>
  <si>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</si>
  <si>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</si>
  <si>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</si>
  <si>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</si>
  <si>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</si>
  <si>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</si>
  <si>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</si>
  <si>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</si>
  <si>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</si>
  <si>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</si>
  <si>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</si>
  <si>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</si>
  <si>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</si>
  <si>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</si>
  <si>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</si>
  <si>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</si>
  <si>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</si>
  <si>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</si>
  <si>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</si>
  <si>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</si>
  <si>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</si>
  <si>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</si>
  <si>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</si>
  <si>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</si>
  <si>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</si>
  <si>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</si>
  <si>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</si>
  <si>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</si>
  <si>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</si>
  <si>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</si>
  <si>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</si>
  <si>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</si>
  <si>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</si>
  <si>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</si>
  <si>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</si>
  <si>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</si>
  <si>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</si>
  <si>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</si>
  <si>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</si>
  <si>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</si>
  <si>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</si>
  <si>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</si>
  <si>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</si>
  <si>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</si>
  <si>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</si>
  <si>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</si>
  <si>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</si>
  <si>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</si>
  <si>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</si>
  <si>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</si>
  <si>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</si>
  <si>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</si>
  <si>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</si>
  <si>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</si>
  <si>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</si>
  <si>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</si>
  <si>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</si>
  <si>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</si>
  <si>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</si>
  <si>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</si>
  <si>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</si>
  <si>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</si>
  <si>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</si>
  <si>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</si>
  <si>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</si>
  <si>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</si>
  <si>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</si>
  <si>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</si>
  <si>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</si>
  <si>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</si>
  <si>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</si>
  <si>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</si>
  <si>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</si>
  <si>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</si>
  <si>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</si>
  <si>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</si>
  <si>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</si>
  <si>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</si>
  <si>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</si>
  <si>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</si>
  <si>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</si>
  <si>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</si>
  <si>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</si>
  <si>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</si>
  <si>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</si>
  <si>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</si>
  <si>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</si>
  <si>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</si>
  <si>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</si>
  <si>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</si>
  <si>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</si>
  <si>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</si>
  <si>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</si>
  <si>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</si>
  <si>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</si>
  <si>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</si>
  <si>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</si>
  <si>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</si>
  <si>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</si>
  <si>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</si>
  <si>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</si>
  <si>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</si>
  <si>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</si>
  <si>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</si>
  <si>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</si>
  <si>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</si>
  <si>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</si>
  <si>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</si>
  <si>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</si>
  <si>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</si>
  <si>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</si>
  <si>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</si>
  <si>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</si>
  <si>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</si>
  <si>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</si>
  <si>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</si>
  <si>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</si>
  <si>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</si>
  <si>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</si>
  <si>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</si>
  <si>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</si>
  <si>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</si>
  <si>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</si>
  <si>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</si>
  <si>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</si>
  <si>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</si>
  <si>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</si>
  <si>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</si>
  <si>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</si>
  <si>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</si>
  <si>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</si>
  <si>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</si>
  <si>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</si>
  <si>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</si>
  <si>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</si>
  <si>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</si>
  <si>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</si>
  <si>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</si>
  <si>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</si>
  <si>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</si>
  <si>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</si>
  <si>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</si>
  <si>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</si>
  <si>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</si>
  <si>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</si>
  <si>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</si>
  <si>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</si>
  <si>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</si>
  <si>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</si>
  <si>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</si>
  <si>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</si>
  <si>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</si>
  <si>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</si>
  <si>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</si>
  <si>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</si>
  <si>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</si>
  <si>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</si>
  <si>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</si>
  <si>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</si>
  <si>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</si>
  <si>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</si>
  <si>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</si>
  <si>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</si>
  <si>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</si>
  <si>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</si>
  <si>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</si>
  <si>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</si>
  <si>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</si>
  <si>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</si>
  <si>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</si>
  <si>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</si>
  <si>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</si>
  <si>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</si>
  <si>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</si>
  <si>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</si>
  <si>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</si>
  <si>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</si>
  <si>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</si>
  <si>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</si>
  <si>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</si>
  <si>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</si>
  <si>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</si>
  <si>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</si>
  <si>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</si>
  <si>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</si>
  <si>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</si>
  <si>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</si>
  <si>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</si>
  <si>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</si>
  <si>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</si>
  <si>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</si>
  <si>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</si>
  <si>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</si>
  <si>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</si>
  <si>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</si>
  <si>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</si>
  <si>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</si>
  <si>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</si>
  <si>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</si>
  <si>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</si>
  <si>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</si>
  <si>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</si>
  <si>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</si>
  <si>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</si>
  <si>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</si>
  <si>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</si>
  <si>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</si>
  <si>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</si>
  <si>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</si>
  <si>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</si>
  <si>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</si>
  <si>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</si>
  <si>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</si>
  <si>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</si>
  <si>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</si>
  <si>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</si>
  <si>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</si>
  <si>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</si>
  <si>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</si>
  <si>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</si>
  <si>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</si>
  <si>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</si>
  <si>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</si>
  <si>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</si>
  <si>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</si>
  <si>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</si>
  <si>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</si>
  <si>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</si>
  <si>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</si>
  <si>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</si>
  <si>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</si>
  <si>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</si>
  <si>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</si>
  <si>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</si>
  <si>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</si>
  <si>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</si>
  <si>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</si>
  <si>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</si>
  <si>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</si>
  <si>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</si>
  <si>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</si>
  <si>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</si>
  <si>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</si>
  <si>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</si>
  <si>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</si>
  <si>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</si>
  <si>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</si>
  <si>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</si>
  <si>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</si>
  <si>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</si>
  <si>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</si>
  <si>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</si>
  <si>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</si>
  <si>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</si>
  <si>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</si>
  <si>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</si>
  <si>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</si>
  <si>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</si>
  <si>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</si>
  <si>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</si>
  <si>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</si>
  <si>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</si>
  <si>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</si>
  <si>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</si>
  <si>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</si>
  <si>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</si>
  <si>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</si>
  <si>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</si>
  <si>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</si>
  <si>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</si>
  <si>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</si>
  <si>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</si>
  <si>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</si>
  <si>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</si>
  <si>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</si>
  <si>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</si>
  <si>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</si>
  <si>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</si>
  <si>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</si>
  <si>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</si>
  <si>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</si>
  <si>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</si>
  <si>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</si>
  <si>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</si>
  <si>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</si>
  <si>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</si>
  <si>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</si>
  <si>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</si>
  <si>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</si>
  <si>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</si>
  <si>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</si>
  <si>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</si>
  <si>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</si>
  <si>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</si>
  <si>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</si>
  <si>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</si>
  <si>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</si>
  <si>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</si>
  <si>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</si>
  <si>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</si>
  <si>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</si>
  <si>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</si>
  <si>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</si>
  <si>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</si>
  <si>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</si>
  <si>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</si>
  <si>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</si>
  <si>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</si>
  <si>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</si>
  <si>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</si>
  <si>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</si>
  <si>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</si>
  <si>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</si>
  <si>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</si>
  <si>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</si>
  <si>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</si>
  <si>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</si>
  <si>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</si>
  <si>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</si>
  <si>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</si>
  <si>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</si>
  <si>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</si>
  <si>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</si>
  <si>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</si>
  <si>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</si>
  <si>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</si>
  <si>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</si>
  <si>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</si>
  <si>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</si>
  <si>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</si>
  <si>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</si>
  <si>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</si>
  <si>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</si>
  <si>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</si>
  <si>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</si>
  <si>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</si>
  <si>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</si>
  <si>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</si>
  <si>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</si>
  <si>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</si>
  <si>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</si>
  <si>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</si>
  <si>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</si>
  <si>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</si>
  <si>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</si>
  <si>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</si>
  <si>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</si>
  <si>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</si>
  <si>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</si>
  <si>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</si>
  <si>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</si>
  <si>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</si>
  <si>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</si>
  <si>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</si>
  <si>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</si>
  <si>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</si>
  <si>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</si>
  <si>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</si>
  <si>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</si>
  <si>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</si>
  <si>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</si>
  <si>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</si>
  <si>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</si>
  <si>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</si>
  <si>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</si>
  <si>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</si>
  <si>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</si>
  <si>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</si>
  <si>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</si>
  <si>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</si>
  <si>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</si>
  <si>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</si>
  <si>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</si>
  <si>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</si>
  <si>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</si>
  <si>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</si>
  <si>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</si>
  <si>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</si>
  <si>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</si>
  <si>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</si>
  <si>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</si>
  <si>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</si>
  <si>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</si>
  <si>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</si>
  <si>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</si>
  <si>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</si>
  <si>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</si>
  <si>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</si>
  <si>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</si>
  <si>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</si>
  <si>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</si>
  <si>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</si>
  <si>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</si>
  <si>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</si>
  <si>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</si>
  <si>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</si>
  <si>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</si>
  <si>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</si>
  <si>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</si>
  <si>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</si>
  <si>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</si>
  <si>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</si>
  <si>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</si>
  <si>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</si>
  <si>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</si>
  <si>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</si>
  <si>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</si>
  <si>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</si>
  <si>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</si>
  <si>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</si>
  <si>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</si>
  <si>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</si>
  <si>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</si>
  <si>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</si>
  <si>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</si>
  <si>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</si>
  <si>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</si>
  <si>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</si>
  <si>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</si>
  <si>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</si>
  <si>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</si>
  <si>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</si>
  <si>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</si>
  <si>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</si>
  <si>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</si>
  <si>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</si>
  <si>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</si>
  <si>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</si>
  <si>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</si>
  <si>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</si>
  <si>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</si>
  <si>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</si>
  <si>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</si>
  <si>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</si>
  <si>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</si>
  <si>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</si>
  <si>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</si>
  <si>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</si>
  <si>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</si>
  <si>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</si>
  <si>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</si>
  <si>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</si>
  <si>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</si>
  <si>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</si>
  <si>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</si>
  <si>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</si>
  <si>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</si>
  <si>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</si>
  <si>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</si>
  <si>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</si>
  <si>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</si>
  <si>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</si>
  <si>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</si>
  <si>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</si>
  <si>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</si>
  <si>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</si>
  <si>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</si>
  <si>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</si>
  <si>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</si>
  <si>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</si>
  <si>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</si>
  <si>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</si>
  <si>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</si>
  <si>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</si>
  <si>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</si>
  <si>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</si>
  <si>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</si>
  <si>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</si>
  <si>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</si>
  <si>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</si>
  <si>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</si>
  <si>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</si>
  <si>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</si>
  <si>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</si>
  <si>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</si>
  <si>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</si>
  <si>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</si>
  <si>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</si>
  <si>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</si>
  <si>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</si>
  <si>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</si>
  <si>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</si>
  <si>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</si>
  <si>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</si>
  <si>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</si>
  <si>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</si>
  <si>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</si>
  <si>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</si>
  <si>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</si>
  <si>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</si>
  <si>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</si>
  <si>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</si>
  <si>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</si>
  <si>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</si>
  <si>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</si>
  <si>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</si>
  <si>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</si>
  <si>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</si>
  <si>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</si>
  <si>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</si>
  <si>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</si>
  <si>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</si>
  <si>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</si>
  <si>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</si>
  <si>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</si>
  <si>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</si>
  <si>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</si>
  <si>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</si>
  <si>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</si>
  <si>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</si>
  <si>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</si>
  <si>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</si>
  <si>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</si>
  <si>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</si>
  <si>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</si>
  <si>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</si>
  <si>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</si>
  <si>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</si>
  <si>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</si>
  <si>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</si>
  <si>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</si>
  <si>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</si>
  <si>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</si>
  <si>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</si>
  <si>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</si>
  <si>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</si>
  <si>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</si>
  <si>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</si>
  <si>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</si>
  <si>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</si>
  <si>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</si>
  <si>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</si>
  <si>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</si>
  <si>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</si>
  <si>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</si>
  <si>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</si>
  <si>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</si>
  <si>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</si>
  <si>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</si>
  <si>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</si>
  <si>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</si>
  <si>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</si>
  <si>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</si>
  <si>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</si>
  <si>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</si>
  <si>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</si>
  <si>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</si>
  <si>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</si>
  <si>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</si>
  <si>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</si>
  <si>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</si>
  <si>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</si>
  <si>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</si>
  <si>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</si>
  <si>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</si>
  <si>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</si>
  <si>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</si>
  <si>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</si>
  <si>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</si>
  <si>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</si>
  <si>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</si>
  <si>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</si>
  <si>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</si>
  <si>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</si>
  <si>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</si>
  <si>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</si>
  <si>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</si>
  <si>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</si>
  <si>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</si>
  <si>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</si>
  <si>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</si>
  <si>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</si>
  <si>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</si>
  <si>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</si>
  <si>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</si>
  <si>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</si>
  <si>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</si>
  <si>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</si>
  <si>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</si>
  <si>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</si>
  <si>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</si>
  <si>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</si>
  <si>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</si>
  <si>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</si>
  <si>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</si>
  <si>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</si>
  <si>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</si>
  <si>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</si>
  <si>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</si>
  <si>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</si>
  <si>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</si>
  <si>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</si>
  <si>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</si>
  <si>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</si>
  <si>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</si>
  <si>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</si>
  <si>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</si>
  <si>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</si>
  <si>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</si>
  <si>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</si>
  <si>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</si>
  <si>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</si>
  <si>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</si>
  <si>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</si>
  <si>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</si>
  <si>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</si>
  <si>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</si>
  <si>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</si>
  <si>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</si>
  <si>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</si>
  <si>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</si>
  <si>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</si>
  <si>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</si>
  <si>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</si>
  <si>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</si>
  <si>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</si>
  <si>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</si>
  <si>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</si>
  <si>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</si>
  <si>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</si>
  <si>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</si>
  <si>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</si>
  <si>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</si>
  <si>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</si>
  <si>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</si>
  <si>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</si>
  <si>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</si>
  <si>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</si>
  <si>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</si>
  <si>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</si>
  <si>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</si>
  <si>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</si>
  <si>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</si>
  <si>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</si>
  <si>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</si>
  <si>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</si>
  <si>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</si>
  <si>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</si>
  <si>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</si>
  <si>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</si>
  <si>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</si>
  <si>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</si>
  <si>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</si>
  <si>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</si>
  <si>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</si>
  <si>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</si>
  <si>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</si>
  <si>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</si>
  <si>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</si>
  <si>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</si>
  <si>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</si>
  <si>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</si>
  <si>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</si>
  <si>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</si>
  <si>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</si>
  <si>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</si>
  <si>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</si>
  <si>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</si>
  <si>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</si>
  <si>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</si>
  <si>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</si>
  <si>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</si>
  <si>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</si>
  <si>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</si>
  <si>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</si>
  <si>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</si>
  <si>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</si>
  <si>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</si>
  <si>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</si>
  <si>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</si>
  <si>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</si>
  <si>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</si>
  <si>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</si>
  <si>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</si>
  <si>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</si>
  <si>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</si>
  <si>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</si>
  <si>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</si>
  <si>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</si>
  <si>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</si>
  <si>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</si>
  <si>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</si>
  <si>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</si>
  <si>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</si>
  <si>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</si>
  <si>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</si>
  <si>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</si>
  <si>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</si>
  <si>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</si>
  <si>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</si>
  <si>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</si>
  <si>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</si>
  <si>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</si>
  <si>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</si>
  <si>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</si>
  <si>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</si>
  <si>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</si>
  <si>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</si>
  <si>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</si>
  <si>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</si>
  <si>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</si>
  <si>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</si>
  <si>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</si>
  <si>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</si>
  <si>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</si>
  <si>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</si>
  <si>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</si>
  <si>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</si>
  <si>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</si>
  <si>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</si>
  <si>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</si>
  <si>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</si>
  <si>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</si>
  <si>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</si>
  <si>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</si>
  <si>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</si>
  <si>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</si>
  <si>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</si>
  <si>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</si>
  <si>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</si>
  <si>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</si>
  <si>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</si>
  <si>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</si>
  <si>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</si>
  <si>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</si>
  <si>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</si>
  <si>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</si>
  <si>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</si>
  <si>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</si>
  <si>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</si>
  <si>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</si>
  <si>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</si>
  <si>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</si>
  <si>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</si>
  <si>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</si>
  <si>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</si>
  <si>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</si>
  <si>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</si>
  <si>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</si>
  <si>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</si>
  <si>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</si>
  <si>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</si>
  <si>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</si>
  <si>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</si>
  <si>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</si>
  <si>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</si>
  <si>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</si>
  <si>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</si>
  <si>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</si>
  <si>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</si>
  <si>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</si>
  <si>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</si>
  <si>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</si>
  <si>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</si>
  <si>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</si>
  <si>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</si>
  <si>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</si>
  <si>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</si>
  <si>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</si>
  <si>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</si>
  <si>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</si>
  <si>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</si>
  <si>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</si>
  <si>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</si>
  <si>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</si>
  <si>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</si>
  <si>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</si>
  <si>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</si>
  <si>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</si>
  <si>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</si>
  <si>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</si>
  <si>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</si>
  <si>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</si>
  <si>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</si>
  <si>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</si>
  <si>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</si>
  <si>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</si>
  <si>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</si>
  <si>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</si>
  <si>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</si>
  <si>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</si>
  <si>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</si>
  <si>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</si>
  <si>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</si>
  <si>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</si>
  <si>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</si>
  <si>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</si>
  <si>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</si>
  <si>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</si>
  <si>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</si>
  <si>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</si>
  <si>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</si>
  <si>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</si>
  <si>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</si>
  <si>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</si>
  <si>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</si>
  <si>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</si>
  <si>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</si>
  <si>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</si>
  <si>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</si>
  <si>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</si>
  <si>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</si>
  <si>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</si>
  <si>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</si>
  <si>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</si>
  <si>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</si>
  <si>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</si>
  <si>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</si>
  <si>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</si>
  <si>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</si>
  <si>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</si>
  <si>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</si>
  <si>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</si>
  <si>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</si>
  <si>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</si>
  <si>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</si>
  <si>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</si>
  <si>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</si>
  <si>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</si>
  <si>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</si>
  <si>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</si>
  <si>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</si>
  <si>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</si>
  <si>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</si>
  <si>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</si>
  <si>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</si>
  <si>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</si>
  <si>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</si>
  <si>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</si>
  <si>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</si>
  <si>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</si>
  <si>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</si>
  <si>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</si>
  <si>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</si>
  <si>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</si>
  <si>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</si>
  <si>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</si>
  <si>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</si>
  <si>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</si>
  <si>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</si>
  <si>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</si>
  <si>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</si>
  <si>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</si>
  <si>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</si>
  <si>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</si>
  <si>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</si>
  <si>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</si>
  <si>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</si>
  <si>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</si>
  <si>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</si>
  <si>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</si>
  <si>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</si>
  <si>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</si>
  <si>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</si>
  <si>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</si>
  <si>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</si>
  <si>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</si>
  <si>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</si>
  <si>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</si>
  <si>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</si>
  <si>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</si>
  <si>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</si>
  <si>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</si>
  <si>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</si>
  <si>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</si>
  <si>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</si>
  <si>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</si>
  <si>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</si>
  <si>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</si>
  <si>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</si>
  <si>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</si>
  <si>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</si>
  <si>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</si>
  <si>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</si>
  <si>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</si>
  <si>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</si>
  <si>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</si>
  <si>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</si>
  <si>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</si>
  <si>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</si>
  <si>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</si>
  <si>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</si>
  <si>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</si>
  <si>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</si>
  <si>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</si>
  <si>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</si>
  <si>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</si>
  <si>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</si>
  <si>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</si>
  <si>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</si>
  <si>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</si>
  <si>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</si>
  <si>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</si>
  <si>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</si>
  <si>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</si>
  <si>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</si>
  <si>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</si>
  <si>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</si>
  <si>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</si>
  <si>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</si>
  <si>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</si>
  <si>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</si>
  <si>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</si>
  <si>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</si>
  <si>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</si>
  <si>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</si>
  <si>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</si>
  <si>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</si>
  <si>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</si>
  <si>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</si>
  <si>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</si>
  <si>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</si>
  <si>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</si>
  <si>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</si>
  <si>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</si>
  <si>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</si>
  <si>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</si>
  <si>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</si>
  <si>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</si>
  <si>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</si>
  <si>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</si>
  <si>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</si>
  <si>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</si>
  <si>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</si>
  <si>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</si>
  <si>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</si>
  <si>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</si>
  <si>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</si>
  <si>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</si>
  <si>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</si>
  <si>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</si>
  <si>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</si>
  <si>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</si>
  <si>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</si>
  <si>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</si>
  <si>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</si>
  <si>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</si>
  <si>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</si>
  <si>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</si>
  <si>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</si>
  <si>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</si>
  <si>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</si>
  <si>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</si>
  <si>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</si>
  <si>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</si>
  <si>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</si>
  <si>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</si>
  <si>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</si>
  <si>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</si>
  <si>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</si>
  <si>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</si>
  <si>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</si>
  <si>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</si>
  <si>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</si>
  <si>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</si>
  <si>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</si>
  <si>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</si>
  <si>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</si>
  <si>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</si>
  <si>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</si>
  <si>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</si>
  <si>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</si>
  <si>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</si>
  <si>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</si>
  <si>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</si>
  <si>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</si>
  <si>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</si>
  <si>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</si>
  <si>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</si>
  <si>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</si>
  <si>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</si>
  <si>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</si>
  <si>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</si>
  <si>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</si>
  <si>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</si>
  <si>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</si>
  <si>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</si>
  <si>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</si>
  <si>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</si>
  <si>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</si>
  <si>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</si>
  <si>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</si>
  <si>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</si>
  <si>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</si>
  <si>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</si>
  <si>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</si>
  <si>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</si>
  <si>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</si>
  <si>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</si>
  <si>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</si>
  <si>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</si>
  <si>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</si>
  <si>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</si>
  <si>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</si>
  <si>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</si>
  <si>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</si>
  <si>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</si>
  <si>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</si>
  <si>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</si>
  <si>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</si>
  <si>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</si>
  <si>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</si>
  <si>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</si>
  <si>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</si>
  <si>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</si>
  <si>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</si>
  <si>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</si>
  <si>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</si>
  <si>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</si>
  <si>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</si>
  <si>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</si>
  <si>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</si>
  <si>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</si>
  <si>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</si>
  <si>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</si>
  <si>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</si>
  <si>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</si>
  <si>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</si>
  <si>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</si>
  <si>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</si>
  <si>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</si>
  <si>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</si>
  <si>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</si>
  <si>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</si>
  <si>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</si>
  <si>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</si>
  <si>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</si>
  <si>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</si>
  <si>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</si>
  <si>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</si>
  <si>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</si>
  <si>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</si>
  <si>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</si>
  <si>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</si>
  <si>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</si>
  <si>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</si>
  <si>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</si>
  <si>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</si>
  <si>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</si>
  <si>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</si>
  <si>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</si>
  <si>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</si>
  <si>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</si>
  <si>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</si>
  <si>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</si>
  <si>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</si>
  <si>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</si>
  <si>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</si>
  <si>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</si>
  <si>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</si>
  <si>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</si>
  <si>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</si>
  <si>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</si>
  <si>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</si>
  <si>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</si>
  <si>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</si>
  <si>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</si>
  <si>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</si>
  <si>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</si>
  <si>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</si>
  <si>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</si>
  <si>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</si>
  <si>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</si>
  <si>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</si>
  <si>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</si>
  <si>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</si>
  <si>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</si>
  <si>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</si>
  <si>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</si>
  <si>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</si>
  <si>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</si>
  <si>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</si>
  <si>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</si>
  <si>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</si>
  <si>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</si>
  <si>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</si>
  <si>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</si>
  <si>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</si>
  <si>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</si>
  <si>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</si>
  <si>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</si>
  <si>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</si>
  <si>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</si>
  <si>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</si>
  <si>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</si>
  <si>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</si>
  <si>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</si>
  <si>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</si>
  <si>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</si>
  <si>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</si>
  <si>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</si>
  <si>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</si>
  <si>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</si>
  <si>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</si>
  <si>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</si>
  <si>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</si>
  <si>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</si>
  <si>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</si>
  <si>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</si>
  <si>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</si>
  <si>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</si>
  <si>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</si>
  <si>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</si>
  <si>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</si>
  <si>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</si>
  <si>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</si>
  <si>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</si>
  <si>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</si>
  <si>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</si>
  <si>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</si>
  <si>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</si>
  <si>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</si>
  <si>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</si>
  <si>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</si>
  <si>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</si>
  <si>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</si>
  <si>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</si>
  <si>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</si>
  <si>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</si>
  <si>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</si>
  <si>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</si>
  <si>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</si>
  <si>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</si>
  <si>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</si>
  <si>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</si>
  <si>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</si>
  <si>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</si>
  <si>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</si>
  <si>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</si>
  <si>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</si>
  <si>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</si>
  <si>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</si>
  <si>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</si>
  <si>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</si>
  <si>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</si>
  <si>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</si>
  <si>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</si>
  <si>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</si>
  <si>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</si>
  <si>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</si>
  <si>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</si>
  <si>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</si>
  <si>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</si>
  <si>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</si>
  <si>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</si>
  <si>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</si>
  <si>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</si>
  <si>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</si>
  <si>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</si>
  <si>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</si>
  <si>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</si>
  <si>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</si>
  <si>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</si>
  <si>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</si>
  <si>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</si>
  <si>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</si>
  <si>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</si>
  <si>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</si>
  <si>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</si>
  <si>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</si>
  <si>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</si>
  <si>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</si>
  <si>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</si>
  <si>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</si>
  <si>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</si>
  <si>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</si>
  <si>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</si>
  <si>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</si>
  <si>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</si>
  <si>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</si>
  <si>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</si>
  <si>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</si>
  <si>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</si>
  <si>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</si>
  <si>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</si>
  <si>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</si>
  <si>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</si>
  <si>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</si>
  <si>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</si>
  <si>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</si>
  <si>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</si>
  <si>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</si>
  <si>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</si>
  <si>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</si>
  <si>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</si>
  <si>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</si>
  <si>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</si>
  <si>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</si>
  <si>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</si>
  <si>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</si>
  <si>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</si>
  <si>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</si>
  <si>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</si>
  <si>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</si>
  <si>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</si>
  <si>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</si>
  <si>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</si>
  <si>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</si>
  <si>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</si>
  <si>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</si>
  <si>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</si>
  <si>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</si>
  <si>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</si>
  <si>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</si>
  <si>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</si>
  <si>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</si>
  <si>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</si>
  <si>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</si>
  <si>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</si>
  <si>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</si>
  <si>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</si>
  <si>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</si>
  <si>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</si>
  <si>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</si>
  <si>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</si>
  <si>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</si>
  <si>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</si>
  <si>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</si>
  <si>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</si>
  <si>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</si>
  <si>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</si>
  <si>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</si>
  <si>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</si>
  <si>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</si>
  <si>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</si>
  <si>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</si>
  <si>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</si>
  <si>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</si>
  <si>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</si>
  <si>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</si>
  <si>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</si>
  <si>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</si>
  <si>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</si>
  <si>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</si>
  <si>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</si>
  <si>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</si>
  <si>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</si>
  <si>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</si>
  <si>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</si>
  <si>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</si>
  <si>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</si>
  <si>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</si>
  <si>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</si>
  <si>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</si>
  <si>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</si>
  <si>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</si>
  <si>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</si>
  <si>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</si>
  <si>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</si>
  <si>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</si>
  <si>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</si>
  <si>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</si>
  <si>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</si>
  <si>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</si>
  <si>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</si>
  <si>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</si>
  <si>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</si>
  <si>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</si>
  <si>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</si>
  <si>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</si>
  <si>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</si>
  <si>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</si>
  <si>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</si>
  <si>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</si>
  <si>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</si>
  <si>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</si>
  <si>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</si>
  <si>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</si>
  <si>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</si>
  <si>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</si>
  <si>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</si>
  <si>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</si>
  <si>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</si>
  <si>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</si>
  <si>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</si>
  <si>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</si>
  <si>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</si>
  <si>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</si>
  <si>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</si>
  <si>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</si>
  <si>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</si>
  <si>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</si>
  <si>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</si>
  <si>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</si>
  <si>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</si>
  <si>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</si>
  <si>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</si>
  <si>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</si>
  <si>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</si>
  <si>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</si>
  <si>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</si>
  <si>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</si>
  <si>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</si>
  <si>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</si>
  <si>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</si>
  <si>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</si>
  <si>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</si>
  <si>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</si>
  <si>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</si>
  <si>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</si>
  <si>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</si>
  <si>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</si>
  <si>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</si>
  <si>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</si>
  <si>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</si>
  <si>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</si>
  <si>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</si>
  <si>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</si>
  <si>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</si>
  <si>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</si>
  <si>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</si>
  <si>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</si>
  <si>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</si>
  <si>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</si>
  <si>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</si>
  <si>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</si>
  <si>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</si>
  <si>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</si>
  <si>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</si>
  <si>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</si>
  <si>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</si>
  <si>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</si>
  <si>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</si>
  <si>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</si>
  <si>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</si>
  <si>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</si>
  <si>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</si>
  <si>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</si>
  <si>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</si>
  <si>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</si>
  <si>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</si>
  <si>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</si>
  <si>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</si>
  <si>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</si>
  <si>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</si>
  <si>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</si>
  <si>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</si>
  <si>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</si>
  <si>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</si>
  <si>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</si>
  <si>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</si>
  <si>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</si>
  <si>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</si>
  <si>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</si>
  <si>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</si>
  <si>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</si>
  <si>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</si>
  <si>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</si>
  <si>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</si>
  <si>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</si>
  <si>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</si>
  <si>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</si>
  <si>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</si>
  <si>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</si>
  <si>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</si>
  <si>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</si>
  <si>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</si>
  <si>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</si>
  <si>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</si>
  <si>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</si>
  <si>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</si>
  <si>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</si>
  <si>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</si>
  <si>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</si>
  <si>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</si>
  <si>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</si>
  <si>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</si>
  <si>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</si>
  <si>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</si>
  <si>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</si>
  <si>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</si>
  <si>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</si>
  <si>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</si>
  <si>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</si>
  <si>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</si>
  <si>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</si>
  <si>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</si>
  <si>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</si>
  <si>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</si>
  <si>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</si>
  <si>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</si>
  <si>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</si>
  <si>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</si>
  <si>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</si>
  <si>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</si>
  <si>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</si>
  <si>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</si>
  <si>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</si>
  <si>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</si>
  <si>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</si>
  <si>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</si>
  <si>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</si>
  <si>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</si>
  <si>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</si>
  <si>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</si>
  <si>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</si>
  <si>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</si>
  <si>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</si>
  <si>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</si>
  <si>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</si>
  <si>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</si>
  <si>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</si>
  <si>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</si>
  <si>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</si>
  <si>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</si>
  <si>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</si>
  <si>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</si>
  <si>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</si>
  <si>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</si>
  <si>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</si>
  <si>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</si>
  <si>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</si>
  <si>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</si>
  <si>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</si>
  <si>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</si>
  <si>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</si>
  <si>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</si>
  <si>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</si>
  <si>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</si>
  <si>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</si>
  <si>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</si>
  <si>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</si>
  <si>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</si>
  <si>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</si>
  <si>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</si>
  <si>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</si>
  <si>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</si>
  <si>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</si>
  <si>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</si>
  <si>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</si>
  <si>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</si>
  <si>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</si>
  <si>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</si>
  <si>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</si>
  <si>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</si>
  <si>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</si>
  <si>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</si>
  <si>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</si>
  <si>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</si>
  <si>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</si>
  <si>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</si>
  <si>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</si>
  <si>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</si>
  <si>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</si>
  <si>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</si>
  <si>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</si>
  <si>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</si>
  <si>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</si>
  <si>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</si>
  <si>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</si>
  <si>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</si>
  <si>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</si>
  <si>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</si>
  <si>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</si>
  <si>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</si>
  <si>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</si>
  <si>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</si>
  <si>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</si>
  <si>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</si>
  <si>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</si>
  <si>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</si>
  <si>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</si>
  <si>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</si>
  <si>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</si>
  <si>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</si>
  <si>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</si>
  <si>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</si>
  <si>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</si>
  <si>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</si>
  <si>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</si>
  <si>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</si>
  <si>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</si>
  <si>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</si>
  <si>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</si>
  <si>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</si>
  <si>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</si>
  <si>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</si>
  <si>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</si>
  <si>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</si>
  <si>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</si>
  <si>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</si>
  <si>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</si>
  <si>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</si>
  <si>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</si>
  <si>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</si>
  <si>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</si>
  <si>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</si>
  <si>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</si>
  <si>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</si>
  <si>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</si>
  <si>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</si>
  <si>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</si>
  <si>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</si>
  <si>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</si>
  <si>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</si>
  <si>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</si>
  <si>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</si>
  <si>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</si>
  <si>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</si>
  <si>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</si>
  <si>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</si>
  <si>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</si>
  <si>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</si>
  <si>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</si>
  <si>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</si>
  <si>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</si>
  <si>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</si>
  <si>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</si>
  <si>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</si>
  <si>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</si>
  <si>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</si>
  <si>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</si>
  <si>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</si>
  <si>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</si>
  <si>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</si>
  <si>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</si>
  <si>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</si>
  <si>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</si>
  <si>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</si>
  <si>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</si>
  <si>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</si>
  <si>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</si>
  <si>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</si>
  <si>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</si>
  <si>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</si>
  <si>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</si>
  <si>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</si>
  <si>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</si>
  <si>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</si>
  <si>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</si>
  <si>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</si>
  <si>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</si>
  <si>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</si>
  <si>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</si>
  <si>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</si>
  <si>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</si>
  <si>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</si>
  <si>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</si>
  <si>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</si>
  <si>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</si>
  <si>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</si>
  <si>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</si>
  <si>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</si>
  <si>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</si>
  <si>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</si>
  <si>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</si>
  <si>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</si>
  <si>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</si>
  <si>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</si>
  <si>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</si>
  <si>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</si>
  <si>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</si>
  <si>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</si>
  <si>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</si>
  <si>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</si>
  <si>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</si>
  <si>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</si>
  <si>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</si>
  <si>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</si>
  <si>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</si>
  <si>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</si>
  <si>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</si>
  <si>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</si>
  <si>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</si>
  <si>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</si>
  <si>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</si>
  <si>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</si>
  <si>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</si>
  <si>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</si>
  <si>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</si>
  <si>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</si>
  <si>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</si>
  <si>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</si>
  <si>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</si>
  <si>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</si>
  <si>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</si>
  <si>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</si>
  <si>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</si>
  <si>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</si>
  <si>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</si>
  <si>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</si>
  <si>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</si>
  <si>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</si>
  <si>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</si>
  <si>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</si>
  <si>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</si>
  <si>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</si>
  <si>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</si>
  <si>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</si>
  <si>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</si>
  <si>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</si>
  <si>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</si>
  <si>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</si>
  <si>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</si>
  <si>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</si>
  <si>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</si>
  <si>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</si>
  <si>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</si>
  <si>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</si>
  <si>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</si>
  <si>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</si>
  <si>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</si>
  <si>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</si>
  <si>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</si>
  <si>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</si>
  <si>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</si>
  <si>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</si>
  <si>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</si>
  <si>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</si>
  <si>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</si>
  <si>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</si>
  <si>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</si>
  <si>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</si>
  <si>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</si>
  <si>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</si>
  <si>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</si>
  <si>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</si>
  <si>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</si>
  <si>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</si>
  <si>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</si>
  <si>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</si>
  <si>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</si>
  <si>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</si>
  <si>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</si>
  <si>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</si>
  <si>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</si>
  <si>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</si>
  <si>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</si>
  <si>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</si>
  <si>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</si>
  <si>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</si>
  <si>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</si>
  <si>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</si>
  <si>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</si>
  <si>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</si>
  <si>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</si>
  <si>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</si>
  <si>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</si>
  <si>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</si>
  <si>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</si>
  <si>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</si>
  <si>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</si>
  <si>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</si>
  <si>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</si>
  <si>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</si>
  <si>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</si>
  <si>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</si>
  <si>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</si>
  <si>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</si>
  <si>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</si>
  <si>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</si>
  <si>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</si>
  <si>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</si>
  <si>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</si>
  <si>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</si>
  <si>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</si>
  <si>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</si>
  <si>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</si>
  <si>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</si>
  <si>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</si>
  <si>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</si>
  <si>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</si>
  <si>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</si>
  <si>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</si>
  <si>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</si>
  <si>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</si>
  <si>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</si>
  <si>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</si>
  <si>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</si>
  <si>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</si>
  <si>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</si>
  <si>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</si>
  <si>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</si>
  <si>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</si>
  <si>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</si>
  <si>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</si>
  <si>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</si>
  <si>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</si>
  <si>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</si>
  <si>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</si>
  <si>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</si>
  <si>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</si>
  <si>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</si>
  <si>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</si>
  <si>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</si>
  <si>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</si>
  <si>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</si>
  <si>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</si>
  <si>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</si>
  <si>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</si>
  <si>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</si>
  <si>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</si>
  <si>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</si>
  <si>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</si>
  <si>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</si>
  <si>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</si>
  <si>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</si>
  <si>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</si>
  <si>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</si>
  <si>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</si>
  <si>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</si>
  <si>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</si>
  <si>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</si>
  <si>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</si>
  <si>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</si>
  <si>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</si>
  <si>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</si>
  <si>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</si>
  <si>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</si>
  <si>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</si>
  <si>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</si>
  <si>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</si>
  <si>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</si>
  <si>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</si>
  <si>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</si>
  <si>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</si>
  <si>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</si>
  <si>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</si>
  <si>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</si>
  <si>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</si>
  <si>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</si>
  <si>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</si>
  <si>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</si>
  <si>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</si>
  <si>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</si>
  <si>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</si>
  <si>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</si>
  <si>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</si>
  <si>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</si>
  <si>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</si>
  <si>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</si>
  <si>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</si>
  <si>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</si>
  <si>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</si>
  <si>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</si>
  <si>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</si>
  <si>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</si>
  <si>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</si>
  <si>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</si>
  <si>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</si>
  <si>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</si>
  <si>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</si>
  <si>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</si>
  <si>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</si>
  <si>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</si>
  <si>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</si>
  <si>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</si>
  <si>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</si>
  <si>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</si>
  <si>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</si>
  <si>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</si>
  <si>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</si>
  <si>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</si>
  <si>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</si>
  <si>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</si>
  <si>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</si>
  <si>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</si>
  <si>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</si>
  <si>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</si>
  <si>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</si>
  <si>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</si>
  <si>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</si>
  <si>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</si>
  <si>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</si>
  <si>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</si>
  <si>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</si>
  <si>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</si>
  <si>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</si>
  <si>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</si>
  <si>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</si>
  <si>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</si>
  <si>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</si>
  <si>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</si>
  <si>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</si>
  <si>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</si>
  <si>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</si>
  <si>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</si>
  <si>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</si>
  <si>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</si>
  <si>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</si>
  <si>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</si>
  <si>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</si>
  <si>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</si>
  <si>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</si>
  <si>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</si>
  <si>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</si>
  <si>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</si>
  <si>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</si>
  <si>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</si>
  <si>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</si>
  <si>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</si>
  <si>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</si>
  <si>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</si>
  <si>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</si>
  <si>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</si>
  <si>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</si>
  <si>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</si>
  <si>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</si>
  <si>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</si>
  <si>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</si>
  <si>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</si>
  <si>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</si>
  <si>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</si>
  <si>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</si>
  <si>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</si>
  <si>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</si>
  <si>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</si>
  <si>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</si>
  <si>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</si>
  <si>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</si>
  <si>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</si>
  <si>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</si>
  <si>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</si>
  <si>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</si>
  <si>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</si>
  <si>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</si>
  <si>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</si>
  <si>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</si>
  <si>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</si>
  <si>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</si>
  <si>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</si>
  <si>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</si>
  <si>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</si>
  <si>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</si>
  <si>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</si>
  <si>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</si>
  <si>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</si>
  <si>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</si>
  <si>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</si>
  <si>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</si>
  <si>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</si>
  <si>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</si>
  <si>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</si>
  <si>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</si>
  <si>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</si>
  <si>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</si>
  <si>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</si>
  <si>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</si>
  <si>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</si>
  <si>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</si>
  <si>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</si>
  <si>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</si>
  <si>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</si>
  <si>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</si>
  <si>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</si>
  <si>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</si>
  <si>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</si>
  <si>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</si>
  <si>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</si>
  <si>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</si>
  <si>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</si>
  <si>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</si>
  <si>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</si>
  <si>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</si>
  <si>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</si>
  <si>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</si>
  <si>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</si>
  <si>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</si>
  <si>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</si>
  <si>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</si>
  <si>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</si>
  <si>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</si>
  <si>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</si>
  <si>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</si>
  <si>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</si>
  <si>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</si>
  <si>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</si>
  <si>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</si>
  <si>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</si>
  <si>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</si>
  <si>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</si>
  <si>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</si>
  <si>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</si>
  <si>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</si>
  <si>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</si>
  <si>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</si>
  <si>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</si>
  <si>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</si>
  <si>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</si>
  <si>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</si>
  <si>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</si>
  <si>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</si>
  <si>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</si>
  <si>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</si>
  <si>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</si>
  <si>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</si>
  <si>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</si>
  <si>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</si>
  <si>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</si>
  <si>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</si>
  <si>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</si>
  <si>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</si>
  <si>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</si>
  <si>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</si>
  <si>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</si>
  <si>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</si>
  <si>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</si>
  <si>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</si>
  <si>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</si>
  <si>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</si>
  <si>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</si>
  <si>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</si>
  <si>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</si>
  <si>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</si>
  <si>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</si>
  <si>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</si>
  <si>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</si>
  <si>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</si>
  <si>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</si>
  <si>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</si>
  <si>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</si>
  <si>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</si>
  <si>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</si>
  <si>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</si>
  <si>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</si>
  <si>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</si>
  <si>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</si>
  <si>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</si>
  <si>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</si>
  <si>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</si>
  <si>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</si>
  <si>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</si>
  <si>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</si>
  <si>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</si>
  <si>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</si>
  <si>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</si>
  <si>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</si>
  <si>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</si>
  <si>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</si>
  <si>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</si>
  <si>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</si>
  <si>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</si>
  <si>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</si>
  <si>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</si>
  <si>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</si>
  <si>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</si>
  <si>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</si>
  <si>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</si>
  <si>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</si>
  <si>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</si>
  <si>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</si>
  <si>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</si>
  <si>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</si>
  <si>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</si>
  <si>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</si>
  <si>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</si>
  <si>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</si>
  <si>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</si>
  <si>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</si>
  <si>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</si>
  <si>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</si>
  <si>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</si>
  <si>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</si>
  <si>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</si>
  <si>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</si>
  <si>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</si>
  <si>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</si>
  <si>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</si>
  <si>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</si>
  <si>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</si>
  <si>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</si>
  <si>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</si>
  <si>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</si>
  <si>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</si>
  <si>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</si>
  <si>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</si>
  <si>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</si>
  <si>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</si>
  <si>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</si>
  <si>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</si>
  <si>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</si>
  <si>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</si>
  <si>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</si>
  <si>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</si>
  <si>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</si>
  <si>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</si>
  <si>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</si>
  <si>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</si>
  <si>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</si>
  <si>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</si>
  <si>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</si>
  <si>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</si>
  <si>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</si>
  <si>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</si>
  <si>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</si>
  <si>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</si>
  <si>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</si>
  <si>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</si>
  <si>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</si>
  <si>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</si>
  <si>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</si>
  <si>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</si>
  <si>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</si>
  <si>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</si>
  <si>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</si>
  <si>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</si>
  <si>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</si>
  <si>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</si>
  <si>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</si>
  <si>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</si>
  <si>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</si>
  <si>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</si>
  <si>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</si>
  <si>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</si>
  <si>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</si>
  <si>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</si>
  <si>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</si>
  <si>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</si>
  <si>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</si>
  <si>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</si>
  <si>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</si>
  <si>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</si>
  <si>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</si>
  <si>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</si>
  <si>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</si>
  <si>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</si>
  <si>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</si>
  <si>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</si>
  <si>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</si>
  <si>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</si>
  <si>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</si>
  <si>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</si>
  <si>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</si>
  <si>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</si>
  <si>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</si>
  <si>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</si>
  <si>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</si>
  <si>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</si>
  <si>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</si>
  <si>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</si>
  <si>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</si>
  <si>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</si>
  <si>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</si>
  <si>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</si>
  <si>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</si>
  <si>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</si>
  <si>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</si>
  <si>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</si>
  <si>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</si>
  <si>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</si>
  <si>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</si>
  <si>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</si>
  <si>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</si>
  <si>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</si>
  <si>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</si>
  <si>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</si>
  <si>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</si>
  <si>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</si>
  <si>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</si>
  <si>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</si>
  <si>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</si>
  <si>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</si>
  <si>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</si>
  <si>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</si>
  <si>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</si>
  <si>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</si>
  <si>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</si>
  <si>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</si>
  <si>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</si>
  <si>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</si>
  <si>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</si>
  <si>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</si>
  <si>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</si>
  <si>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</si>
  <si>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</si>
  <si>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</si>
  <si>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</si>
  <si>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</si>
  <si>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</si>
  <si>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</si>
  <si>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</si>
  <si>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</si>
  <si>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</si>
  <si>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</si>
  <si>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</si>
  <si>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</si>
  <si>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</si>
  <si>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</si>
  <si>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</si>
  <si>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</si>
  <si>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</si>
  <si>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</si>
  <si>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</si>
  <si>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</si>
  <si>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</si>
  <si>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</si>
  <si>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</si>
  <si>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</si>
  <si>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</si>
  <si>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</si>
  <si>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</si>
  <si>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</si>
  <si>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</si>
  <si>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</si>
  <si>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</si>
  <si>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</si>
  <si>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</si>
  <si>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</si>
  <si>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</si>
  <si>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</si>
  <si>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</si>
  <si>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</si>
  <si>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</si>
  <si>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</si>
  <si>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</si>
  <si>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</si>
  <si>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</si>
  <si>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</si>
  <si>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</si>
  <si>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</si>
  <si>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</si>
  <si>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</si>
  <si>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</si>
  <si>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</si>
  <si>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</si>
  <si>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</si>
  <si>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</si>
  <si>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</si>
  <si>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</si>
  <si>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</si>
  <si>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</si>
  <si>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</si>
  <si>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</si>
  <si>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</si>
  <si>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</si>
  <si>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</si>
  <si>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</si>
  <si>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</si>
  <si>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</si>
  <si>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</si>
  <si>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</si>
  <si>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</si>
  <si>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</si>
  <si>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</si>
  <si>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</si>
  <si>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</si>
  <si>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</si>
  <si>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</si>
  <si>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</si>
  <si>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</si>
  <si>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</si>
  <si>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</si>
  <si>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</si>
  <si>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</si>
  <si>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</si>
  <si>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</si>
  <si>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</si>
  <si>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</si>
  <si>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</si>
  <si>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</si>
  <si>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</si>
  <si>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</si>
  <si>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</si>
  <si>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</si>
  <si>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</si>
  <si>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</si>
  <si>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</si>
  <si>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</si>
  <si>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</si>
  <si>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</si>
  <si>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</si>
  <si>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</si>
  <si>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</si>
  <si>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</si>
  <si>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</si>
  <si>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</si>
  <si>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</si>
  <si>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</si>
  <si>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</si>
  <si>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</si>
  <si>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</si>
  <si>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</si>
  <si>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</si>
  <si>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</si>
  <si>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</si>
  <si>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</si>
  <si>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</si>
  <si>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</si>
  <si>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</si>
  <si>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</si>
  <si>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</si>
  <si>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</si>
  <si>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</si>
  <si>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</si>
  <si>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</si>
  <si>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</si>
  <si>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</si>
  <si>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</si>
  <si>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</si>
  <si>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</si>
  <si>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</si>
  <si>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</si>
  <si>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</si>
  <si>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</si>
  <si>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</si>
  <si>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</si>
  <si>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</si>
  <si>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</si>
  <si>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</si>
  <si>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</si>
  <si>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</si>
  <si>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</si>
  <si>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</si>
  <si>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</si>
  <si>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</si>
  <si>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</si>
  <si>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</si>
  <si>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</si>
  <si>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</si>
  <si>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</si>
  <si>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</si>
  <si>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</si>
  <si>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</si>
  <si>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</si>
  <si>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</si>
  <si>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</si>
  <si>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</si>
  <si>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</si>
  <si>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</si>
  <si>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</si>
  <si>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</si>
  <si>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</si>
  <si>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</si>
  <si>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</si>
  <si>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</si>
  <si>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</si>
  <si>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</si>
  <si>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</si>
  <si>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</si>
  <si>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</si>
  <si>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</si>
  <si>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</si>
  <si>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</si>
  <si>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</si>
  <si>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</si>
  <si>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</si>
  <si>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</si>
  <si>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</si>
  <si>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</si>
  <si>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</si>
  <si>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</si>
  <si>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</si>
  <si>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</si>
  <si>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</si>
  <si>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</si>
  <si>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</si>
  <si>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</si>
  <si>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</si>
  <si>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 11:28</t>
  </si>
  <si>
    <t>14/11/1397</t>
  </si>
  <si>
    <t>شاراک 9081 تا 481.7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</si>
</sst>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4684</v>
      </c>
      <c r="B5" s="18">
        <v>-200000</v>
      </c>
      <c r="C5" s="18">
        <v>0</v>
      </c>
      <c r="D5" s="113">
        <f t="shared" si="0"/>
        <v>-200000</v>
      </c>
      <c r="E5" s="20" t="s">
        <v>4681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4703</v>
      </c>
      <c r="B10" s="18">
        <v>-51400</v>
      </c>
      <c r="C10" s="18">
        <v>0</v>
      </c>
      <c r="D10" s="113">
        <f t="shared" si="0"/>
        <v>-51400</v>
      </c>
      <c r="E10" s="19" t="s">
        <v>4710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4750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4750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4750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4759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4654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4760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4654</v>
      </c>
      <c r="B293" s="18">
        <v>-96850</v>
      </c>
      <c r="C293" s="18">
        <v>0</v>
      </c>
      <c r="D293" s="18">
        <f t="shared" si="18"/>
        <v>-96850</v>
      </c>
      <c r="E293" s="99" t="s">
        <v>4663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4667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4667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4684</v>
      </c>
      <c r="B296" s="18">
        <v>-200000</v>
      </c>
      <c r="C296" s="18">
        <v>0</v>
      </c>
      <c r="D296" s="18">
        <f t="shared" si="18"/>
        <v>-200000</v>
      </c>
      <c r="E296" s="99" t="s">
        <v>4685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4697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4703</v>
      </c>
      <c r="B301" s="18">
        <v>-51400</v>
      </c>
      <c r="C301" s="18">
        <v>0</v>
      </c>
      <c r="D301" s="18">
        <f t="shared" si="18"/>
        <v>-51400</v>
      </c>
      <c r="E301" s="99" t="s">
        <v>4710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4750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4750</v>
      </c>
      <c r="B305" s="18">
        <v>-276773</v>
      </c>
      <c r="C305" s="18">
        <v>0</v>
      </c>
      <c r="D305" s="18">
        <f t="shared" si="18"/>
        <v>-276773</v>
      </c>
      <c r="E305" s="99" t="s">
        <v>4758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4759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9"/>
  <sheetViews>
    <sheetView topLeftCell="F88" zoomScaleNormal="100" workbookViewId="0">
      <selection activeCell="O47" sqref="O4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363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133</v>
      </c>
      <c r="T20" s="169" t="s">
        <v>4310</v>
      </c>
      <c r="U20" s="169">
        <v>192.1</v>
      </c>
      <c r="V20" s="169">
        <f>U20*(1+$N$86+$Q$15*S20/36500)</f>
        <v>213.85098301369862</v>
      </c>
      <c r="W20" s="32">
        <f t="shared" ref="W20:W34" si="6">V20*(1+$W$19/100)</f>
        <v>218.12800267397259</v>
      </c>
      <c r="X20" s="32">
        <f t="shared" ref="X20:X34" si="7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182709544.58162025</v>
      </c>
      <c r="M21" s="169" t="s">
        <v>4302</v>
      </c>
      <c r="N21" s="113">
        <f>O21*P21</f>
        <v>12430548.600000001</v>
      </c>
      <c r="O21" s="99">
        <v>73207</v>
      </c>
      <c r="P21" s="188">
        <f>P54</f>
        <v>169.8</v>
      </c>
      <c r="Q21" s="170">
        <v>1450345</v>
      </c>
      <c r="R21" s="169" t="s">
        <v>4306</v>
      </c>
      <c r="S21" s="194">
        <f>S20-35</f>
        <v>98</v>
      </c>
      <c r="T21" s="169" t="s">
        <v>4311</v>
      </c>
      <c r="U21" s="169">
        <v>313.7</v>
      </c>
      <c r="V21" s="169">
        <f>U21*(1+$N$86+$Q$15*S21/36500)</f>
        <v>340.79680438356166</v>
      </c>
      <c r="W21" s="32">
        <f t="shared" si="6"/>
        <v>347.61274047123288</v>
      </c>
      <c r="X21" s="32">
        <f t="shared" si="7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8">AL22+AK21</f>
        <v>298</v>
      </c>
      <c r="AM21" s="113">
        <f t="shared" ref="AM21:AM139" si="9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0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-2095549</v>
      </c>
      <c r="M22" s="169" t="s">
        <v>4314</v>
      </c>
      <c r="N22" s="113">
        <f>O22*P22</f>
        <v>8260459.2000000002</v>
      </c>
      <c r="O22" s="99">
        <v>28504</v>
      </c>
      <c r="P22" s="188">
        <f>P52</f>
        <v>289.8</v>
      </c>
      <c r="Q22" s="170">
        <v>400069</v>
      </c>
      <c r="R22" s="169" t="s">
        <v>4312</v>
      </c>
      <c r="S22" s="194">
        <f>S21-1</f>
        <v>97</v>
      </c>
      <c r="T22" s="169" t="s">
        <v>4313</v>
      </c>
      <c r="U22" s="169">
        <v>314.8</v>
      </c>
      <c r="V22" s="169">
        <f>U22*(1+$N$86+$Q$15*S22/36500)</f>
        <v>341.75032986301375</v>
      </c>
      <c r="W22" s="32">
        <f t="shared" si="6"/>
        <v>348.58533646027405</v>
      </c>
      <c r="X22" s="32">
        <f t="shared" si="7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8"/>
        <v>297</v>
      </c>
      <c r="AM22" s="113">
        <f t="shared" si="9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0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21"/>
      <c r="L23" s="117"/>
      <c r="M23" s="221" t="s">
        <v>4416</v>
      </c>
      <c r="N23" s="113">
        <f>O23*P23</f>
        <v>348612</v>
      </c>
      <c r="O23" s="99">
        <v>695</v>
      </c>
      <c r="P23" s="188">
        <f>P46</f>
        <v>501.6</v>
      </c>
      <c r="Q23" s="170">
        <v>7118256</v>
      </c>
      <c r="R23" s="169" t="s">
        <v>4312</v>
      </c>
      <c r="S23" s="194">
        <f>S22</f>
        <v>97</v>
      </c>
      <c r="T23" s="169" t="s">
        <v>4542</v>
      </c>
      <c r="U23" s="169">
        <v>313</v>
      </c>
      <c r="V23" s="169">
        <f>U23*(1+$N$86+$Q$15*S23/36500)</f>
        <v>339.79623013698631</v>
      </c>
      <c r="W23" s="32">
        <f t="shared" si="6"/>
        <v>346.59215473972603</v>
      </c>
      <c r="X23" s="32">
        <f t="shared" si="7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8"/>
        <v>296</v>
      </c>
      <c r="AM23" s="113">
        <f t="shared" si="9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0"/>
        <v>280306345.38193864</v>
      </c>
      <c r="F24" s="3">
        <f>L66</f>
        <v>360193635.58162022</v>
      </c>
      <c r="G24" s="95">
        <f t="shared" si="0"/>
        <v>-79887290.19968158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4284982.8000000007</v>
      </c>
      <c r="O24" s="99">
        <v>828</v>
      </c>
      <c r="P24" s="99">
        <f>P45</f>
        <v>5175.1000000000004</v>
      </c>
      <c r="Q24" s="170">
        <v>595156</v>
      </c>
      <c r="R24" s="169" t="s">
        <v>4399</v>
      </c>
      <c r="S24" s="195">
        <f>S23-16</f>
        <v>81</v>
      </c>
      <c r="T24" s="169" t="s">
        <v>4402</v>
      </c>
      <c r="U24" s="169">
        <v>5808.5</v>
      </c>
      <c r="V24" s="169">
        <f>U24*(1+$N$86+$Q$15*S24/36500)</f>
        <v>6234.4778849315071</v>
      </c>
      <c r="W24" s="32">
        <f t="shared" si="6"/>
        <v>6359.167442630137</v>
      </c>
      <c r="X24" s="32">
        <f t="shared" si="7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8"/>
        <v>295</v>
      </c>
      <c r="AM24" s="113">
        <f t="shared" si="9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0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74</v>
      </c>
      <c r="T25" s="19" t="s">
        <v>4440</v>
      </c>
      <c r="U25" s="169">
        <v>5474</v>
      </c>
      <c r="V25" s="169">
        <f>U25*(1+$N$86+$Q$15*S25/36500)</f>
        <v>5846.0520328767125</v>
      </c>
      <c r="W25" s="32">
        <f t="shared" si="6"/>
        <v>5962.9730735342464</v>
      </c>
      <c r="X25" s="32">
        <f t="shared" si="7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8"/>
        <v>283</v>
      </c>
      <c r="AM25" s="113">
        <f t="shared" si="9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0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74</v>
      </c>
      <c r="T26" s="19" t="s">
        <v>4441</v>
      </c>
      <c r="U26" s="169">
        <v>5349</v>
      </c>
      <c r="V26" s="169">
        <f>U26*(1+$N$86+$Q$15*S26/36500)</f>
        <v>5712.5561424657535</v>
      </c>
      <c r="W26" s="32">
        <f>V26*(1+$W$19/100)</f>
        <v>5826.8072653150684</v>
      </c>
      <c r="X26" s="32">
        <f t="shared" si="7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8"/>
        <v>277</v>
      </c>
      <c r="AM26" s="113">
        <f t="shared" si="9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0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243229.7</v>
      </c>
      <c r="O27" s="69">
        <v>47</v>
      </c>
      <c r="P27" s="99">
        <f>P45</f>
        <v>5175.1000000000004</v>
      </c>
      <c r="Q27" s="170">
        <v>1353959</v>
      </c>
      <c r="R27" s="169" t="s">
        <v>4437</v>
      </c>
      <c r="S27" s="202">
        <f>S26</f>
        <v>74</v>
      </c>
      <c r="T27" s="19" t="s">
        <v>4483</v>
      </c>
      <c r="U27" s="169">
        <v>192.2</v>
      </c>
      <c r="V27" s="169">
        <f>U27*(1+$N$86+$Q$15*S27/36500)</f>
        <v>205.26328109589042</v>
      </c>
      <c r="W27" s="32">
        <f t="shared" si="6"/>
        <v>209.36854671780824</v>
      </c>
      <c r="X27" s="32">
        <f t="shared" si="7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8"/>
        <v>276</v>
      </c>
      <c r="AM27" s="113">
        <f t="shared" si="9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0"/>
        <v>306577597.44039667</v>
      </c>
      <c r="F28" s="3"/>
      <c r="G28" s="11"/>
      <c r="H28" s="11"/>
      <c r="K28" s="221"/>
      <c r="L28" s="117"/>
      <c r="M28" s="192" t="s">
        <v>4416</v>
      </c>
      <c r="N28" s="113">
        <f>O28*P28</f>
        <v>350116.8</v>
      </c>
      <c r="O28" s="69">
        <v>698</v>
      </c>
      <c r="P28" s="99">
        <f>P46</f>
        <v>501.6</v>
      </c>
      <c r="Q28" s="170">
        <v>1614398</v>
      </c>
      <c r="R28" s="169" t="s">
        <v>4445</v>
      </c>
      <c r="S28" s="169">
        <f>S27-3</f>
        <v>71</v>
      </c>
      <c r="T28" s="19" t="s">
        <v>4521</v>
      </c>
      <c r="U28" s="169">
        <v>184.6</v>
      </c>
      <c r="V28" s="169">
        <f>U28*(1+$N$86+$Q$15*S28/36500)</f>
        <v>196.72189808219179</v>
      </c>
      <c r="W28" s="32">
        <f t="shared" si="6"/>
        <v>200.65633604383564</v>
      </c>
      <c r="X28" s="32">
        <f t="shared" si="7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8"/>
        <v>275</v>
      </c>
      <c r="AM28" s="113">
        <f t="shared" si="9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0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2943483</v>
      </c>
      <c r="O29" s="69">
        <v>17335</v>
      </c>
      <c r="P29" s="99">
        <f>P54</f>
        <v>169.8</v>
      </c>
      <c r="Q29" s="170">
        <v>133576</v>
      </c>
      <c r="R29" s="169" t="s">
        <v>4528</v>
      </c>
      <c r="S29" s="201">
        <f>S28-22</f>
        <v>49</v>
      </c>
      <c r="T29" s="169" t="s">
        <v>4529</v>
      </c>
      <c r="U29" s="169">
        <v>166.2</v>
      </c>
      <c r="V29" s="169">
        <f>U29*(1+$N$86+$Q$15*S29/36500)</f>
        <v>174.30873863013699</v>
      </c>
      <c r="W29" s="32">
        <f t="shared" si="6"/>
        <v>177.79491340273972</v>
      </c>
      <c r="X29" s="32">
        <f t="shared" si="7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8"/>
        <v>270</v>
      </c>
      <c r="AM29" s="113">
        <f t="shared" si="9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0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48</v>
      </c>
      <c r="T30" s="169" t="s">
        <v>4535</v>
      </c>
      <c r="U30" s="169">
        <v>166</v>
      </c>
      <c r="V30" s="169">
        <f>U30*(1+$N$86+$Q$15*S30/36500)</f>
        <v>173.97163835616439</v>
      </c>
      <c r="W30" s="32">
        <f t="shared" si="6"/>
        <v>177.45107112328768</v>
      </c>
      <c r="X30" s="32">
        <f t="shared" si="7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8"/>
        <v>269</v>
      </c>
      <c r="AM30" s="113">
        <f t="shared" si="9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0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46</v>
      </c>
      <c r="T31" s="169" t="s">
        <v>4543</v>
      </c>
      <c r="U31" s="169">
        <v>160.19999999999999</v>
      </c>
      <c r="V31" s="169">
        <f>U31*(1+$N$86+$Q$15*S31/36500)</f>
        <v>167.64732493150686</v>
      </c>
      <c r="W31" s="32">
        <f t="shared" si="6"/>
        <v>171.00027143013699</v>
      </c>
      <c r="X31" s="32">
        <f t="shared" si="7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9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0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-S124</f>
        <v>-182709544.58162025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18</v>
      </c>
      <c r="T32" s="169" t="s">
        <v>4646</v>
      </c>
      <c r="U32" s="169">
        <v>172.2</v>
      </c>
      <c r="V32" s="169">
        <f>U32*(1+$N$86+$Q$15*S32/36500)</f>
        <v>176.50641534246574</v>
      </c>
      <c r="W32" s="32">
        <f t="shared" si="6"/>
        <v>180.03654364931506</v>
      </c>
      <c r="X32" s="32">
        <f t="shared" si="7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8"/>
        <v>263</v>
      </c>
      <c r="AM32" s="113">
        <f t="shared" si="9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0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 t="s">
        <v>25</v>
      </c>
      <c r="P33" s="96"/>
      <c r="Q33" s="170">
        <v>250962</v>
      </c>
      <c r="R33" s="169" t="s">
        <v>4697</v>
      </c>
      <c r="S33" s="201">
        <f>S32-10</f>
        <v>8</v>
      </c>
      <c r="T33" s="169" t="s">
        <v>4698</v>
      </c>
      <c r="U33" s="169">
        <v>5315.5</v>
      </c>
      <c r="V33" s="169">
        <f>U33*(1+$N$86+$Q$15*S33/36500)</f>
        <v>5407.654750684932</v>
      </c>
      <c r="W33" s="32">
        <f t="shared" si="6"/>
        <v>5515.8078456986304</v>
      </c>
      <c r="X33" s="32">
        <f t="shared" si="7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8"/>
        <v>247</v>
      </c>
      <c r="AM33" s="113">
        <f t="shared" si="9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0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350718</v>
      </c>
      <c r="R34" s="221" t="s">
        <v>4761</v>
      </c>
      <c r="S34" s="201">
        <f>S33-7</f>
        <v>1</v>
      </c>
      <c r="T34" s="221" t="s">
        <v>4762</v>
      </c>
      <c r="U34" s="221">
        <v>502.3</v>
      </c>
      <c r="V34" s="221">
        <f>U34*(1+$N$86+$Q$15*S34/36500)</f>
        <v>508.31108602739727</v>
      </c>
      <c r="W34" s="32">
        <f t="shared" si="6"/>
        <v>518.47730774794525</v>
      </c>
      <c r="X34" s="32">
        <f t="shared" si="7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8"/>
        <v>247</v>
      </c>
      <c r="AM34" s="113">
        <f t="shared" si="9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0"/>
        <v>358188786.24271059</v>
      </c>
      <c r="F35" s="3"/>
      <c r="G35" s="11"/>
      <c r="H35" s="11"/>
      <c r="K35" s="169" t="s">
        <v>4752</v>
      </c>
      <c r="L35" s="117">
        <v>-48500000</v>
      </c>
      <c r="M35" s="73"/>
      <c r="N35" s="113"/>
      <c r="O35" s="96" t="s">
        <v>25</v>
      </c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8"/>
        <v>235</v>
      </c>
      <c r="AM35" s="113">
        <f t="shared" si="9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0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-2307774.3999999985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8"/>
        <v>233</v>
      </c>
      <c r="AM36" s="113">
        <f t="shared" si="9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0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4751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8"/>
        <v>233</v>
      </c>
      <c r="AM37" s="113">
        <f t="shared" si="9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0"/>
        <v>382721938.80352634</v>
      </c>
      <c r="F38" s="3"/>
      <c r="G38" s="11"/>
      <c r="H38" s="11"/>
      <c r="K38" s="169"/>
      <c r="L38" s="117"/>
      <c r="M38" s="169" t="s">
        <v>4695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8"/>
        <v>232</v>
      </c>
      <c r="AM38" s="113">
        <f t="shared" si="9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0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8"/>
        <v>228</v>
      </c>
      <c r="AM39" s="113">
        <f t="shared" si="9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0"/>
        <v>399949534.64670491</v>
      </c>
      <c r="F40" s="3"/>
      <c r="G40" s="11"/>
      <c r="H40" s="11"/>
      <c r="K40" s="99" t="s">
        <v>4629</v>
      </c>
      <c r="L40" s="117">
        <v>2000000</v>
      </c>
      <c r="M40" s="169" t="s">
        <v>4466</v>
      </c>
      <c r="N40" s="113">
        <v>800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8"/>
        <v>225</v>
      </c>
      <c r="AM40" s="113">
        <f t="shared" si="9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0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133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8"/>
        <v>221</v>
      </c>
      <c r="AM41" s="113">
        <f t="shared" si="9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0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1">O42*P42</f>
        <v>36539979</v>
      </c>
      <c r="O42" s="99">
        <v>11470</v>
      </c>
      <c r="P42" s="99">
        <v>3185.7</v>
      </c>
      <c r="Q42" s="170">
        <v>863944</v>
      </c>
      <c r="R42" s="169" t="s">
        <v>4445</v>
      </c>
      <c r="S42" s="169">
        <f>S41-62</f>
        <v>71</v>
      </c>
      <c r="T42" s="193" t="s">
        <v>4522</v>
      </c>
      <c r="U42" s="169">
        <v>184.6</v>
      </c>
      <c r="V42" s="169">
        <f>U42*(1+$N$86+$Q$15*S42/36500)</f>
        <v>196.72189808219179</v>
      </c>
      <c r="W42" s="32">
        <f t="shared" ref="W42:W49" si="12">V42*(1+$W$19/100)</f>
        <v>200.65633604383564</v>
      </c>
      <c r="X42" s="32">
        <f t="shared" ref="X42:X49" si="13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8"/>
        <v>220</v>
      </c>
      <c r="AM42" s="113">
        <f t="shared" si="9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0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5" si="14">O43*P43</f>
        <v>691400</v>
      </c>
      <c r="O43" s="69">
        <v>2000</v>
      </c>
      <c r="P43" s="69">
        <v>345.7</v>
      </c>
      <c r="Q43" s="170">
        <v>1692313</v>
      </c>
      <c r="R43" s="169" t="s">
        <v>4525</v>
      </c>
      <c r="S43" s="201">
        <f>S42-21</f>
        <v>50</v>
      </c>
      <c r="T43" s="192" t="s">
        <v>4526</v>
      </c>
      <c r="U43" s="169">
        <v>168.5</v>
      </c>
      <c r="V43" s="169">
        <f>U43*(1+$N$86+$Q$15*S43/36500)</f>
        <v>176.85021369863017</v>
      </c>
      <c r="W43" s="32">
        <f t="shared" si="12"/>
        <v>180.38721797260277</v>
      </c>
      <c r="X43" s="32">
        <f t="shared" si="13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8"/>
        <v>220</v>
      </c>
      <c r="AM43" s="113">
        <f t="shared" si="9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0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4"/>
        <v>1155900</v>
      </c>
      <c r="O44" s="69">
        <v>1000</v>
      </c>
      <c r="P44" s="69">
        <v>1155.9000000000001</v>
      </c>
      <c r="Q44" s="170">
        <v>101153</v>
      </c>
      <c r="R44" s="169" t="s">
        <v>4528</v>
      </c>
      <c r="S44" s="201">
        <f>S43-1</f>
        <v>49</v>
      </c>
      <c r="T44" s="192" t="s">
        <v>4530</v>
      </c>
      <c r="U44" s="169">
        <v>166.7</v>
      </c>
      <c r="V44" s="169">
        <f>U44*(1+$N$86+$Q$15*S44/36500)</f>
        <v>174.83313315068492</v>
      </c>
      <c r="W44" s="32">
        <f t="shared" si="12"/>
        <v>178.32979581369861</v>
      </c>
      <c r="X44" s="32">
        <f t="shared" si="13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8"/>
        <v>219</v>
      </c>
      <c r="AM44" s="113">
        <f t="shared" si="9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0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4"/>
        <v>109194610.00000001</v>
      </c>
      <c r="O45" s="69">
        <v>21100</v>
      </c>
      <c r="P45" s="69">
        <v>5175.1000000000004</v>
      </c>
      <c r="Q45" s="170">
        <v>183105</v>
      </c>
      <c r="R45" s="169" t="s">
        <v>4232</v>
      </c>
      <c r="S45" s="201">
        <f>S44-1</f>
        <v>48</v>
      </c>
      <c r="T45" s="192" t="s">
        <v>4534</v>
      </c>
      <c r="U45" s="169">
        <v>166.6</v>
      </c>
      <c r="V45" s="169">
        <f>U45*(1+$N$86+$Q$15*S45/36500)</f>
        <v>174.60045150684934</v>
      </c>
      <c r="W45" s="32">
        <f t="shared" si="12"/>
        <v>178.09246053698632</v>
      </c>
      <c r="X45" s="32">
        <f t="shared" si="13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8"/>
        <v>218</v>
      </c>
      <c r="AM45" s="113">
        <f t="shared" si="9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0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4"/>
        <v>47268276</v>
      </c>
      <c r="O46" s="69">
        <v>94235</v>
      </c>
      <c r="P46" s="69">
        <v>501.6</v>
      </c>
      <c r="Q46" s="170">
        <v>168846</v>
      </c>
      <c r="R46" s="169" t="s">
        <v>3692</v>
      </c>
      <c r="S46" s="201">
        <f>S45-30</f>
        <v>18</v>
      </c>
      <c r="T46" s="192" t="s">
        <v>4646</v>
      </c>
      <c r="U46" s="169">
        <v>172.2</v>
      </c>
      <c r="V46" s="169">
        <f>U46*(1+$N$86+$Q$15*S46/36500)</f>
        <v>176.50641534246574</v>
      </c>
      <c r="W46" s="32">
        <f t="shared" si="12"/>
        <v>180.03654364931506</v>
      </c>
      <c r="X46" s="32">
        <f t="shared" si="13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8"/>
        <v>211</v>
      </c>
      <c r="AM46" s="113">
        <f t="shared" si="9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0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4"/>
        <v>2721013.4</v>
      </c>
      <c r="O47" s="69">
        <v>698</v>
      </c>
      <c r="P47" s="69">
        <v>3898.3</v>
      </c>
      <c r="Q47" s="170">
        <v>250962</v>
      </c>
      <c r="R47" s="169" t="s">
        <v>4697</v>
      </c>
      <c r="S47" s="201">
        <f>S46-10</f>
        <v>8</v>
      </c>
      <c r="T47" s="192" t="s">
        <v>4698</v>
      </c>
      <c r="U47" s="169">
        <v>5315.5</v>
      </c>
      <c r="V47" s="169">
        <f>U47*(1+$N$86+$Q$15*S47/36500)</f>
        <v>5407.654750684932</v>
      </c>
      <c r="W47" s="32">
        <f t="shared" si="12"/>
        <v>5515.8078456986304</v>
      </c>
      <c r="X47" s="32">
        <f t="shared" si="13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8"/>
        <v>205</v>
      </c>
      <c r="AM47" s="113">
        <f t="shared" si="9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0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4"/>
        <v>97889.299999999988</v>
      </c>
      <c r="O48" s="69">
        <v>197</v>
      </c>
      <c r="P48" s="69">
        <v>496.9</v>
      </c>
      <c r="Q48" s="170">
        <v>352231</v>
      </c>
      <c r="R48" s="221" t="s">
        <v>4761</v>
      </c>
      <c r="S48" s="201">
        <f>S47-7</f>
        <v>1</v>
      </c>
      <c r="T48" s="192" t="s">
        <v>4763</v>
      </c>
      <c r="U48" s="221">
        <v>502.3</v>
      </c>
      <c r="V48" s="221">
        <f>U48*(1+$N$86+$Q$15*S48/36500)</f>
        <v>508.31108602739727</v>
      </c>
      <c r="W48" s="32">
        <f t="shared" si="12"/>
        <v>518.47730774794525</v>
      </c>
      <c r="X48" s="32">
        <f t="shared" si="13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8"/>
        <v>204</v>
      </c>
      <c r="AM48" s="113">
        <f t="shared" si="9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0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4"/>
        <v>13826215</v>
      </c>
      <c r="O49" s="69">
        <v>3065</v>
      </c>
      <c r="P49" s="69">
        <v>4511</v>
      </c>
      <c r="Q49" s="170"/>
      <c r="R49" s="169"/>
      <c r="S49" s="113"/>
      <c r="T49" s="113"/>
      <c r="U49" s="169"/>
      <c r="V49" s="169">
        <f>U49*(1+$N$86+$Q$15*S49/36500)</f>
        <v>0</v>
      </c>
      <c r="W49" s="32">
        <f t="shared" si="12"/>
        <v>0</v>
      </c>
      <c r="X49" s="32">
        <f t="shared" si="13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9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0"/>
        <v>497683939.43577409</v>
      </c>
      <c r="F50" s="51"/>
      <c r="G50" s="11"/>
      <c r="H50" s="11"/>
      <c r="K50" s="99"/>
      <c r="L50" s="117"/>
      <c r="M50" s="21" t="s">
        <v>4657</v>
      </c>
      <c r="N50" s="117">
        <f t="shared" si="14"/>
        <v>969513</v>
      </c>
      <c r="O50" s="69">
        <v>2190</v>
      </c>
      <c r="P50" s="69">
        <v>442.7</v>
      </c>
      <c r="Q50" s="113">
        <f>SUM(N27:N29)-SUM(Q41:Q49)</f>
        <v>-75724.5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8"/>
        <v>201</v>
      </c>
      <c r="AM50" s="113">
        <f t="shared" si="9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0"/>
        <v>508617694.84124976</v>
      </c>
      <c r="F51" s="3"/>
      <c r="G51" s="11"/>
      <c r="H51" s="11"/>
      <c r="K51" s="99" t="s">
        <v>25</v>
      </c>
      <c r="L51" s="117"/>
      <c r="M51" s="21" t="s">
        <v>4638</v>
      </c>
      <c r="N51" s="117">
        <f t="shared" si="14"/>
        <v>3488400</v>
      </c>
      <c r="O51" s="69">
        <v>5100</v>
      </c>
      <c r="P51" s="69">
        <v>684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8"/>
        <v>199</v>
      </c>
      <c r="AM51" s="113">
        <f t="shared" si="9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0"/>
        <v>519779926.12100261</v>
      </c>
      <c r="F52" s="3"/>
      <c r="G52" s="11"/>
      <c r="H52" s="11"/>
      <c r="K52" s="99"/>
      <c r="L52" s="117"/>
      <c r="M52" s="19" t="s">
        <v>4297</v>
      </c>
      <c r="N52" s="113">
        <f t="shared" si="14"/>
        <v>434700</v>
      </c>
      <c r="O52" s="69">
        <v>1500</v>
      </c>
      <c r="P52" s="69">
        <v>289.8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8"/>
        <v>185</v>
      </c>
      <c r="AM52" s="113">
        <f t="shared" si="9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0"/>
        <v>531175300.80017978</v>
      </c>
      <c r="F53" s="3"/>
      <c r="G53" s="11"/>
      <c r="H53" s="11"/>
      <c r="K53" s="99"/>
      <c r="L53" s="117"/>
      <c r="M53" s="21" t="s">
        <v>4658</v>
      </c>
      <c r="N53" s="117">
        <f t="shared" si="14"/>
        <v>1122550</v>
      </c>
      <c r="O53" s="69">
        <v>5500</v>
      </c>
      <c r="P53" s="69">
        <v>204.1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8"/>
        <v>184</v>
      </c>
      <c r="AM53" s="113">
        <f t="shared" si="9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0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4"/>
        <v>214514283</v>
      </c>
      <c r="O54" s="99">
        <v>1263335</v>
      </c>
      <c r="P54" s="99">
        <v>169.8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8"/>
        <v>180</v>
      </c>
      <c r="AM54" s="113">
        <f t="shared" si="9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0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4"/>
        <v>12690000</v>
      </c>
      <c r="O55" s="69">
        <v>30</v>
      </c>
      <c r="P55" s="69">
        <v>423000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8"/>
        <v>178</v>
      </c>
      <c r="AM55" s="171">
        <f t="shared" si="9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0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8"/>
        <v>176</v>
      </c>
      <c r="AM56" s="113">
        <f t="shared" si="9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0"/>
        <v>579184925.67596567</v>
      </c>
      <c r="F57" s="3"/>
      <c r="G57" s="11"/>
      <c r="H57" s="11"/>
      <c r="K57" s="99"/>
      <c r="L57" s="117"/>
      <c r="M57" s="169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8"/>
        <v>176</v>
      </c>
      <c r="AM57" s="113">
        <f t="shared" si="9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0"/>
        <v>591819398.97808707</v>
      </c>
      <c r="F58" s="3"/>
      <c r="G58" s="11"/>
      <c r="H58" s="11"/>
      <c r="K58" s="99"/>
      <c r="L58" s="99"/>
      <c r="M58" s="169" t="s">
        <v>1154</v>
      </c>
      <c r="N58" s="117">
        <v>5282</v>
      </c>
      <c r="O58" s="96"/>
      <c r="P58" t="s">
        <v>25</v>
      </c>
      <c r="Q58" s="35">
        <v>184971545</v>
      </c>
      <c r="R58" s="169" t="s">
        <v>4173</v>
      </c>
      <c r="S58" s="194">
        <v>133</v>
      </c>
      <c r="T58" s="169" t="s">
        <v>4352</v>
      </c>
      <c r="U58" s="169">
        <v>192</v>
      </c>
      <c r="V58" s="99">
        <f>U58*(1+$N$86+$Q$15*S58/36500)</f>
        <v>213.73966027397262</v>
      </c>
      <c r="W58" s="32">
        <f t="shared" ref="W58:W83" si="15">V58*(1+$W$19/100)</f>
        <v>218.01445347945207</v>
      </c>
      <c r="X58" s="32">
        <f t="shared" ref="X58:X83" si="16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8"/>
        <v>175</v>
      </c>
      <c r="AM58" s="113">
        <f t="shared" si="9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0"/>
        <v>604717069.49413705</v>
      </c>
      <c r="F59" s="3"/>
      <c r="G59" s="11"/>
      <c r="H59" s="11"/>
      <c r="K59" s="169"/>
      <c r="L59" s="117"/>
      <c r="M59" s="169"/>
      <c r="N59" s="113"/>
      <c r="O59" s="115"/>
      <c r="P59" s="115"/>
      <c r="Q59" s="35">
        <v>9560464</v>
      </c>
      <c r="R59" s="169" t="s">
        <v>4300</v>
      </c>
      <c r="S59" s="194">
        <f>S58-31</f>
        <v>102</v>
      </c>
      <c r="T59" s="169" t="s">
        <v>4316</v>
      </c>
      <c r="U59" s="169">
        <v>214.57</v>
      </c>
      <c r="V59" s="99">
        <f>U59*(1+$N$86+$Q$15*S59/36500)</f>
        <v>233.76255167123287</v>
      </c>
      <c r="W59" s="32">
        <f t="shared" si="15"/>
        <v>238.43780270465754</v>
      </c>
      <c r="X59" s="32">
        <f t="shared" si="16"/>
        <v>243.11305373808219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8"/>
        <v>160</v>
      </c>
      <c r="AM59" s="173">
        <f t="shared" si="9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0"/>
        <v>617883306.24587286</v>
      </c>
      <c r="F60" s="3"/>
      <c r="G60" s="11"/>
      <c r="H60" s="11"/>
      <c r="K60" s="169" t="s">
        <v>25</v>
      </c>
      <c r="L60" s="117"/>
      <c r="M60" s="169" t="s">
        <v>4181</v>
      </c>
      <c r="N60" s="113">
        <f>-O60*P60</f>
        <v>-14054855.4</v>
      </c>
      <c r="O60" s="99">
        <v>82773</v>
      </c>
      <c r="P60" s="99">
        <f>P54</f>
        <v>169.8</v>
      </c>
      <c r="Q60" s="170">
        <v>2000000</v>
      </c>
      <c r="R60" s="169" t="s">
        <v>4347</v>
      </c>
      <c r="S60" s="169">
        <f>S59-11</f>
        <v>91</v>
      </c>
      <c r="T60" s="169" t="s">
        <v>4351</v>
      </c>
      <c r="U60" s="169">
        <v>206.8</v>
      </c>
      <c r="V60" s="99">
        <f>U60*(1+$N$86+$Q$15*S60/36500)</f>
        <v>223.55249972602743</v>
      </c>
      <c r="W60" s="32">
        <f t="shared" si="15"/>
        <v>228.02354972054798</v>
      </c>
      <c r="X60" s="32">
        <f t="shared" si="16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8"/>
        <v>154</v>
      </c>
      <c r="AM60" s="113">
        <f t="shared" si="9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0"/>
        <v>631323586.68626177</v>
      </c>
      <c r="F61" s="3"/>
      <c r="G61" s="11"/>
      <c r="H61" s="11"/>
      <c r="K61" s="169"/>
      <c r="L61" s="117"/>
      <c r="M61" s="169"/>
      <c r="N61" s="113"/>
      <c r="Q61" s="170">
        <v>1429825</v>
      </c>
      <c r="R61" s="169" t="s">
        <v>4378</v>
      </c>
      <c r="S61" s="169">
        <f>S60-7</f>
        <v>84</v>
      </c>
      <c r="T61" s="169" t="s">
        <v>4387</v>
      </c>
      <c r="U61" s="169">
        <v>203.9</v>
      </c>
      <c r="V61" s="99">
        <f>U61*(1+$N$86+$Q$15*S61/36500)</f>
        <v>219.32266082191782</v>
      </c>
      <c r="W61" s="32">
        <f t="shared" si="15"/>
        <v>223.70911403835618</v>
      </c>
      <c r="X61" s="32">
        <f t="shared" si="16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8"/>
        <v>151</v>
      </c>
      <c r="AM61" s="113">
        <f t="shared" si="9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0"/>
        <v>645043498.87861323</v>
      </c>
      <c r="F62" s="3"/>
      <c r="G62" s="11"/>
      <c r="H62" s="11"/>
      <c r="K62" s="169"/>
      <c r="L62" s="117"/>
      <c r="M62" s="169"/>
      <c r="N62" s="113"/>
      <c r="Q62" s="170">
        <v>1420747</v>
      </c>
      <c r="R62" s="169" t="s">
        <v>4378</v>
      </c>
      <c r="S62" s="169">
        <f>S61</f>
        <v>84</v>
      </c>
      <c r="T62" s="169" t="s">
        <v>4389</v>
      </c>
      <c r="U62" s="169">
        <v>203.1</v>
      </c>
      <c r="V62" s="99">
        <f>U62*(1+$N$86+$Q$15*S62/36500)</f>
        <v>218.46215013698631</v>
      </c>
      <c r="W62" s="32">
        <f t="shared" si="15"/>
        <v>222.83139313972603</v>
      </c>
      <c r="X62" s="32">
        <f t="shared" si="16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9"/>
        <v>30000000</v>
      </c>
      <c r="AN62" s="20"/>
    </row>
    <row r="63" spans="1:40">
      <c r="E63" s="26"/>
      <c r="K63" s="169"/>
      <c r="L63" s="117"/>
      <c r="M63" s="169" t="s">
        <v>4453</v>
      </c>
      <c r="N63" s="113">
        <f>-S125</f>
        <v>-14000610.799635211</v>
      </c>
      <c r="Q63" s="170">
        <v>2412371</v>
      </c>
      <c r="R63" s="169" t="s">
        <v>4380</v>
      </c>
      <c r="S63" s="169">
        <f>S62-1</f>
        <v>83</v>
      </c>
      <c r="T63" s="169" t="s">
        <v>4396</v>
      </c>
      <c r="U63" s="169">
        <v>3930</v>
      </c>
      <c r="V63" s="99">
        <f>U63*(1+$N$86+$Q$15*S63/36500)</f>
        <v>4224.2439452054805</v>
      </c>
      <c r="W63" s="32">
        <f t="shared" si="15"/>
        <v>4308.7288241095903</v>
      </c>
      <c r="X63" s="32">
        <f t="shared" si="16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8"/>
        <v>147</v>
      </c>
      <c r="AM63" s="113">
        <f t="shared" si="9"/>
        <v>147000000</v>
      </c>
      <c r="AN63" s="20"/>
    </row>
    <row r="64" spans="1:40">
      <c r="E64" s="26"/>
      <c r="K64" s="169"/>
      <c r="L64" s="117"/>
      <c r="M64" s="169"/>
      <c r="N64" s="113"/>
      <c r="P64" t="s">
        <v>25</v>
      </c>
      <c r="Q64" s="170">
        <v>2010885</v>
      </c>
      <c r="R64" s="169" t="s">
        <v>4399</v>
      </c>
      <c r="S64" s="169">
        <f>S63-2</f>
        <v>81</v>
      </c>
      <c r="T64" s="169" t="s">
        <v>4405</v>
      </c>
      <c r="U64" s="169">
        <v>202.1</v>
      </c>
      <c r="V64" s="99">
        <f>U64*(1+$N$86+$Q$15*S64/36500)</f>
        <v>216.92140493150686</v>
      </c>
      <c r="W64" s="32">
        <f t="shared" si="15"/>
        <v>221.259833030137</v>
      </c>
      <c r="X64" s="32">
        <f t="shared" si="16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9"/>
        <v>187200000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78</v>
      </c>
      <c r="T65" s="169" t="s">
        <v>4427</v>
      </c>
      <c r="U65" s="169">
        <v>5560.3</v>
      </c>
      <c r="V65" s="99">
        <f>U65*(1+$N$86+$Q$15*S65/36500)</f>
        <v>5955.2793380821931</v>
      </c>
      <c r="W65" s="32">
        <f t="shared" si="15"/>
        <v>6074.3849248438373</v>
      </c>
      <c r="X65" s="32">
        <f t="shared" si="16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7">AL66+AK65</f>
        <v>144</v>
      </c>
      <c r="AM65" s="113">
        <f t="shared" si="9"/>
        <v>143280000</v>
      </c>
      <c r="AN65" s="20"/>
    </row>
    <row r="66" spans="1:40">
      <c r="K66" s="169" t="s">
        <v>598</v>
      </c>
      <c r="L66" s="113">
        <f>SUM(L16:L52)</f>
        <v>360193635.58162022</v>
      </c>
      <c r="M66" s="169"/>
      <c r="N66" s="113">
        <f>SUM(N16:N62)</f>
        <v>433168063.81837976</v>
      </c>
      <c r="Q66" s="170">
        <v>444</v>
      </c>
      <c r="R66" s="169" t="s">
        <v>4410</v>
      </c>
      <c r="S66" s="196">
        <f>S65</f>
        <v>78</v>
      </c>
      <c r="T66" s="169" t="s">
        <v>4635</v>
      </c>
      <c r="U66" s="169">
        <v>441.8</v>
      </c>
      <c r="V66" s="99">
        <f>U66*(1+$N$86+$Q$15*S66/36500)</f>
        <v>473.18353534246586</v>
      </c>
      <c r="W66" s="32">
        <f t="shared" si="15"/>
        <v>482.64720604931517</v>
      </c>
      <c r="X66" s="32">
        <f t="shared" si="16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7"/>
        <v>142</v>
      </c>
      <c r="AM66" s="113">
        <f t="shared" si="9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 t="s">
        <v>599</v>
      </c>
      <c r="L67" s="113">
        <f>L16+L17+L24</f>
        <v>679640</v>
      </c>
      <c r="M67" s="169"/>
      <c r="N67" s="113">
        <f>N16+N17+N33</f>
        <v>1596127</v>
      </c>
      <c r="Q67" s="170">
        <v>1971103</v>
      </c>
      <c r="R67" s="169" t="s">
        <v>4422</v>
      </c>
      <c r="S67" s="169">
        <f>S66-1</f>
        <v>77</v>
      </c>
      <c r="T67" s="169" t="s">
        <v>4423</v>
      </c>
      <c r="U67" s="169">
        <v>196.2</v>
      </c>
      <c r="V67" s="99">
        <f>U67*(1+$N$86+$Q$15*S67/36500)</f>
        <v>209.98667835616436</v>
      </c>
      <c r="W67" s="32">
        <f t="shared" si="15"/>
        <v>214.18641192328766</v>
      </c>
      <c r="X67" s="32">
        <f t="shared" si="16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7"/>
        <v>140</v>
      </c>
      <c r="AM67" s="113">
        <f t="shared" si="9"/>
        <v>-434000000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430193635.58162022</v>
      </c>
      <c r="M68" s="113"/>
      <c r="N68" s="169"/>
      <c r="O68" s="115"/>
      <c r="P68" s="115"/>
      <c r="Q68" s="170">
        <v>1049856</v>
      </c>
      <c r="R68" s="169" t="s">
        <v>4445</v>
      </c>
      <c r="S68" s="202">
        <f>S67-6</f>
        <v>71</v>
      </c>
      <c r="T68" s="169" t="s">
        <v>4484</v>
      </c>
      <c r="U68" s="169">
        <v>184.5</v>
      </c>
      <c r="V68" s="99">
        <f>U68*(1+$N$86+$Q$15*S68/36500)</f>
        <v>196.61533150684934</v>
      </c>
      <c r="W68" s="32">
        <f t="shared" si="15"/>
        <v>200.54763813698634</v>
      </c>
      <c r="X68" s="32">
        <f t="shared" si="16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7"/>
        <v>137</v>
      </c>
      <c r="AM68" s="113">
        <f t="shared" si="9"/>
        <v>6252680000</v>
      </c>
      <c r="AN68" s="20"/>
    </row>
    <row r="69" spans="1:40">
      <c r="F69" t="s">
        <v>4105</v>
      </c>
      <c r="G69" t="s">
        <v>4101</v>
      </c>
      <c r="O69" s="96"/>
      <c r="P69" s="96"/>
      <c r="Q69" s="170">
        <v>1783234</v>
      </c>
      <c r="R69" s="169" t="s">
        <v>4447</v>
      </c>
      <c r="S69" s="169">
        <f>S68-2</f>
        <v>69</v>
      </c>
      <c r="T69" s="169" t="s">
        <v>4448</v>
      </c>
      <c r="U69" s="169">
        <v>177.5</v>
      </c>
      <c r="V69" s="99">
        <f>U69*(1+$N$86+$Q$15*S69/36500)</f>
        <v>188.88334246575343</v>
      </c>
      <c r="W69" s="32">
        <f t="shared" si="15"/>
        <v>192.6610093150685</v>
      </c>
      <c r="X69" s="32">
        <f t="shared" si="16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7"/>
        <v>136</v>
      </c>
      <c r="AM69" s="113">
        <f t="shared" si="9"/>
        <v>4556000000</v>
      </c>
      <c r="AN69" s="20"/>
    </row>
    <row r="70" spans="1:40">
      <c r="G70" t="s">
        <v>4102</v>
      </c>
      <c r="M70" s="25"/>
      <c r="O70" t="s">
        <v>25</v>
      </c>
      <c r="Q70" s="170">
        <v>1662335</v>
      </c>
      <c r="R70" s="169" t="s">
        <v>4451</v>
      </c>
      <c r="S70" s="201">
        <f>S69-5</f>
        <v>64</v>
      </c>
      <c r="T70" s="73" t="s">
        <v>4616</v>
      </c>
      <c r="U70" s="169">
        <v>190.3</v>
      </c>
      <c r="V70" s="99">
        <f>U70*(1+$N$86+$Q$15*S70/36500)</f>
        <v>201.77430794520549</v>
      </c>
      <c r="W70" s="32">
        <f t="shared" si="15"/>
        <v>205.80979410410961</v>
      </c>
      <c r="X70" s="32">
        <f t="shared" si="16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7"/>
        <v>135</v>
      </c>
      <c r="AM70" s="117">
        <f t="shared" si="9"/>
        <v>1620000000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70">
        <v>159753</v>
      </c>
      <c r="R71" s="169" t="s">
        <v>4578</v>
      </c>
      <c r="S71" s="169">
        <f>S70-25</f>
        <v>39</v>
      </c>
      <c r="T71" s="73" t="s">
        <v>4594</v>
      </c>
      <c r="U71" s="169">
        <v>286</v>
      </c>
      <c r="V71" s="99">
        <f>U71*(1+$N$86+$Q$15*S71/36500)</f>
        <v>297.75969315068494</v>
      </c>
      <c r="W71" s="32">
        <f t="shared" si="15"/>
        <v>303.71488701369861</v>
      </c>
      <c r="X71" s="32">
        <f t="shared" si="16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7"/>
        <v>134</v>
      </c>
      <c r="AM71" s="117">
        <f t="shared" si="9"/>
        <v>2077000000</v>
      </c>
      <c r="AN71" s="20"/>
    </row>
    <row r="72" spans="1:40">
      <c r="G72" t="s">
        <v>4107</v>
      </c>
      <c r="M72" s="178"/>
      <c r="O72" s="115"/>
      <c r="P72" s="115"/>
      <c r="Q72" s="170">
        <v>172133</v>
      </c>
      <c r="R72" s="169" t="s">
        <v>4579</v>
      </c>
      <c r="S72" s="169">
        <f>S71-3</f>
        <v>36</v>
      </c>
      <c r="T72" s="73" t="s">
        <v>4595</v>
      </c>
      <c r="U72" s="169">
        <v>287</v>
      </c>
      <c r="V72" s="99">
        <f>U72*(1+$N$86+$Q$15*S72/36500)</f>
        <v>298.14031780821921</v>
      </c>
      <c r="W72" s="32">
        <f t="shared" si="15"/>
        <v>304.10312416438359</v>
      </c>
      <c r="X72" s="32">
        <f t="shared" si="16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7"/>
        <v>130</v>
      </c>
      <c r="AM72" s="117">
        <f t="shared" si="9"/>
        <v>19500000</v>
      </c>
      <c r="AN72" s="20"/>
    </row>
    <row r="73" spans="1:40">
      <c r="G73" t="s">
        <v>4106</v>
      </c>
      <c r="M73" s="96" t="s">
        <v>4719</v>
      </c>
      <c r="Q73" s="170">
        <v>100530</v>
      </c>
      <c r="R73" s="169" t="s">
        <v>4579</v>
      </c>
      <c r="S73" s="169">
        <f>S72</f>
        <v>36</v>
      </c>
      <c r="T73" s="73" t="s">
        <v>4596</v>
      </c>
      <c r="U73" s="169">
        <v>508</v>
      </c>
      <c r="V73" s="99">
        <f>U73*(1+$N$86+$Q$15*S73/36500)</f>
        <v>527.71875068493159</v>
      </c>
      <c r="W73" s="32">
        <f t="shared" si="15"/>
        <v>538.27312569863022</v>
      </c>
      <c r="X73" s="32">
        <f t="shared" si="16"/>
        <v>548.82750071232886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7"/>
        <v>129</v>
      </c>
      <c r="AM73" s="182">
        <f t="shared" si="9"/>
        <v>3741000000</v>
      </c>
      <c r="AN73" s="181" t="s">
        <v>4187</v>
      </c>
    </row>
    <row r="74" spans="1:40">
      <c r="M74" s="122" t="s">
        <v>4417</v>
      </c>
      <c r="O74" s="114"/>
      <c r="Q74" s="170">
        <v>499973</v>
      </c>
      <c r="R74" s="169" t="s">
        <v>4606</v>
      </c>
      <c r="S74" s="169">
        <f>S73-9</f>
        <v>27</v>
      </c>
      <c r="T74" s="73" t="s">
        <v>4607</v>
      </c>
      <c r="U74" s="169">
        <v>413</v>
      </c>
      <c r="V74" s="99">
        <f>U74*(1+$N$86+$Q$15*S74/36500)</f>
        <v>426.17979178082197</v>
      </c>
      <c r="W74" s="32">
        <f t="shared" si="15"/>
        <v>434.70338761643842</v>
      </c>
      <c r="X74" s="32">
        <f t="shared" si="16"/>
        <v>443.22698345205487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7"/>
        <v>114</v>
      </c>
      <c r="AM74" s="117">
        <f t="shared" si="9"/>
        <v>-14820000</v>
      </c>
      <c r="AN74" s="20" t="s">
        <v>4213</v>
      </c>
    </row>
    <row r="75" spans="1:40">
      <c r="M75" s="122" t="s">
        <v>4519</v>
      </c>
      <c r="N75" s="96"/>
      <c r="Q75" s="170">
        <v>11869317</v>
      </c>
      <c r="R75" s="169" t="s">
        <v>4617</v>
      </c>
      <c r="S75" s="169">
        <f>S74-2</f>
        <v>25</v>
      </c>
      <c r="T75" s="169" t="s">
        <v>4618</v>
      </c>
      <c r="U75" s="169">
        <v>395600</v>
      </c>
      <c r="V75" s="99">
        <f>U75*(1+$N$86+$Q$15*S75/36500)</f>
        <v>407617.56931506854</v>
      </c>
      <c r="W75" s="32">
        <f t="shared" si="15"/>
        <v>415769.92070136993</v>
      </c>
      <c r="X75" s="32">
        <f t="shared" si="16"/>
        <v>423922.27208767127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7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22" t="s">
        <v>4598</v>
      </c>
      <c r="N76" s="96"/>
      <c r="P76" t="s">
        <v>25</v>
      </c>
      <c r="Q76" s="170">
        <v>2272487</v>
      </c>
      <c r="R76" s="169" t="s">
        <v>4627</v>
      </c>
      <c r="S76" s="169">
        <f>S75-3</f>
        <v>22</v>
      </c>
      <c r="T76" s="169" t="s">
        <v>4628</v>
      </c>
      <c r="U76" s="169">
        <v>174.9</v>
      </c>
      <c r="V76" s="99">
        <f>U76*(1+$N$86+$Q$15*S76/36500)</f>
        <v>179.8106169863014</v>
      </c>
      <c r="W76" s="32">
        <f t="shared" si="15"/>
        <v>183.40682932602743</v>
      </c>
      <c r="X76" s="32">
        <f t="shared" si="16"/>
        <v>187.00304166575347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7"/>
        <v>105</v>
      </c>
      <c r="AM76" s="117">
        <f t="shared" si="9"/>
        <v>-17850000</v>
      </c>
      <c r="AN76" s="20"/>
    </row>
    <row r="77" spans="1:40" ht="30">
      <c r="D77" s="1" t="s">
        <v>305</v>
      </c>
      <c r="E77" s="1">
        <v>70000</v>
      </c>
      <c r="K77" s="220" t="s">
        <v>4753</v>
      </c>
      <c r="L77" s="22" t="s">
        <v>4674</v>
      </c>
      <c r="M77" s="213" t="s">
        <v>4720</v>
      </c>
      <c r="N77" s="96"/>
      <c r="P77" s="115"/>
      <c r="Q77" s="170">
        <v>3975257</v>
      </c>
      <c r="R77" s="169" t="s">
        <v>4633</v>
      </c>
      <c r="S77" s="169">
        <f>S76-1</f>
        <v>21</v>
      </c>
      <c r="T77" s="169" t="s">
        <v>4634</v>
      </c>
      <c r="U77" s="169">
        <v>173</v>
      </c>
      <c r="V77" s="99">
        <f>U77*(1+$N$86+$Q$15*S77/36500)</f>
        <v>177.72455890410959</v>
      </c>
      <c r="W77" s="32">
        <f t="shared" si="15"/>
        <v>181.27905008219179</v>
      </c>
      <c r="X77" s="32">
        <f t="shared" si="16"/>
        <v>184.83354126027399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7"/>
        <v>102</v>
      </c>
      <c r="AM77" s="117">
        <f t="shared" si="9"/>
        <v>-30600000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70">
        <v>1031662</v>
      </c>
      <c r="R78" s="169" t="s">
        <v>4235</v>
      </c>
      <c r="S78" s="169">
        <f>S77-1</f>
        <v>20</v>
      </c>
      <c r="T78" s="169" t="s">
        <v>4637</v>
      </c>
      <c r="U78" s="169">
        <v>171.2</v>
      </c>
      <c r="V78" s="99">
        <f>U78*(1+$N$86+$Q$15*S78/36500)</f>
        <v>175.74407013698632</v>
      </c>
      <c r="W78" s="32">
        <f t="shared" si="15"/>
        <v>179.25895153972604</v>
      </c>
      <c r="X78" s="32">
        <f t="shared" si="16"/>
        <v>182.77383294246579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9"/>
        <v>-1128600000</v>
      </c>
      <c r="AN78" s="20"/>
    </row>
    <row r="79" spans="1:40">
      <c r="D79" s="1" t="s">
        <v>306</v>
      </c>
      <c r="E79" s="1">
        <v>80000</v>
      </c>
      <c r="L79" s="9" t="s">
        <v>4756</v>
      </c>
      <c r="M79" s="122" t="s">
        <v>4600</v>
      </c>
      <c r="O79" t="s">
        <v>25</v>
      </c>
      <c r="P79" s="115"/>
      <c r="Q79" s="170">
        <v>2666019</v>
      </c>
      <c r="R79" s="169" t="s">
        <v>4235</v>
      </c>
      <c r="S79" s="169">
        <f>S78</f>
        <v>20</v>
      </c>
      <c r="T79" s="169" t="s">
        <v>4639</v>
      </c>
      <c r="U79" s="169">
        <v>749</v>
      </c>
      <c r="V79" s="99">
        <f>U79*(1+$N$86+$Q$15*S79/36500)</f>
        <v>768.88030684931516</v>
      </c>
      <c r="W79" s="32">
        <f t="shared" si="15"/>
        <v>784.25791298630145</v>
      </c>
      <c r="X79" s="32">
        <f t="shared" si="16"/>
        <v>799.63551912328785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1271104</v>
      </c>
      <c r="N80" s="113">
        <f>M80*P54</f>
        <v>215833459.20000002</v>
      </c>
      <c r="P80" s="115"/>
      <c r="Q80" s="170">
        <v>577500</v>
      </c>
      <c r="R80" s="169" t="s">
        <v>4235</v>
      </c>
      <c r="S80" s="169">
        <f>S79</f>
        <v>20</v>
      </c>
      <c r="T80" s="169" t="s">
        <v>4642</v>
      </c>
      <c r="U80" s="169">
        <v>175</v>
      </c>
      <c r="V80" s="99">
        <f>U80*(1+$N$86+$Q$15*S80/36500)</f>
        <v>179.64493150684933</v>
      </c>
      <c r="W80" s="32">
        <f t="shared" si="15"/>
        <v>183.23783013698633</v>
      </c>
      <c r="X80" s="32">
        <f t="shared" si="16"/>
        <v>186.8307287671233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70">
        <v>12636487</v>
      </c>
      <c r="R81" s="169" t="s">
        <v>3692</v>
      </c>
      <c r="S81" s="169">
        <f>S80-2</f>
        <v>18</v>
      </c>
      <c r="T81" s="169" t="s">
        <v>4645</v>
      </c>
      <c r="U81" s="169">
        <v>172.1</v>
      </c>
      <c r="V81" s="99">
        <f>U81*(1+$N$86+$Q$15*S81/36500)</f>
        <v>176.40391452054794</v>
      </c>
      <c r="W81" s="32">
        <f t="shared" si="15"/>
        <v>179.93199281095892</v>
      </c>
      <c r="X81" s="32">
        <f t="shared" si="16"/>
        <v>183.46007110136986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7"/>
        <v>80</v>
      </c>
      <c r="AM81" s="117">
        <f t="shared" si="9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4687</v>
      </c>
      <c r="M82" t="s">
        <v>4604</v>
      </c>
      <c r="N82" t="s">
        <v>25</v>
      </c>
      <c r="P82" s="115"/>
      <c r="Q82" s="170">
        <v>1210169</v>
      </c>
      <c r="R82" s="169" t="s">
        <v>4648</v>
      </c>
      <c r="S82" s="169">
        <f>S81-3</f>
        <v>15</v>
      </c>
      <c r="T82" s="169" t="s">
        <v>4649</v>
      </c>
      <c r="U82" s="169">
        <v>1204.7</v>
      </c>
      <c r="V82" s="99">
        <f>U82*(1+$N$86+$Q$15*S82/36500)</f>
        <v>1232.0549413698632</v>
      </c>
      <c r="W82" s="32">
        <f t="shared" si="15"/>
        <v>1256.6960401972603</v>
      </c>
      <c r="X82" s="32">
        <f t="shared" si="16"/>
        <v>1281.3371390246577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9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P83" s="115"/>
      <c r="Q83" s="170">
        <v>12131182</v>
      </c>
      <c r="R83" s="169" t="s">
        <v>4648</v>
      </c>
      <c r="S83" s="169">
        <f>S82</f>
        <v>15</v>
      </c>
      <c r="T83" s="169" t="s">
        <v>4650</v>
      </c>
      <c r="U83" s="169">
        <v>171.8</v>
      </c>
      <c r="V83" s="99">
        <f>U83*(1+$N$86+$Q$15*S83/36500)</f>
        <v>175.7010367123288</v>
      </c>
      <c r="W83" s="32">
        <f t="shared" si="15"/>
        <v>179.21505744657537</v>
      </c>
      <c r="X83" s="32">
        <f t="shared" si="16"/>
        <v>182.72907818082197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7"/>
        <v>77</v>
      </c>
      <c r="AM83" s="117">
        <f t="shared" si="9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t="s">
        <v>949</v>
      </c>
      <c r="N84">
        <v>6.3E-3</v>
      </c>
      <c r="P84" s="115"/>
      <c r="Q84" s="170">
        <v>8978273</v>
      </c>
      <c r="R84" s="169" t="s">
        <v>4654</v>
      </c>
      <c r="S84" s="169">
        <f>S83-1</f>
        <v>14</v>
      </c>
      <c r="T84" s="169" t="s">
        <v>4655</v>
      </c>
      <c r="U84" s="169">
        <v>3405.9</v>
      </c>
      <c r="V84" s="99">
        <f>U84*(1+$N$86+$Q$15*S84/36500)</f>
        <v>3480.6245128767132</v>
      </c>
      <c r="W84" s="32">
        <f t="shared" ref="W84:W112" si="18">V84*(1+$W$19/100)</f>
        <v>3550.2370031342475</v>
      </c>
      <c r="X84" s="32">
        <f t="shared" ref="X84:X112" si="19">V84*(1+$X$19/100)</f>
        <v>3619.8494933917818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7"/>
        <v>74</v>
      </c>
      <c r="AM84" s="117">
        <f t="shared" si="9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61</v>
      </c>
      <c r="N85">
        <v>4.8999999999999998E-3</v>
      </c>
      <c r="P85" s="115"/>
      <c r="Q85" s="170">
        <v>1001073</v>
      </c>
      <c r="R85" s="169" t="s">
        <v>4654</v>
      </c>
      <c r="S85" s="169">
        <f>S84</f>
        <v>14</v>
      </c>
      <c r="T85" s="169" t="s">
        <v>4656</v>
      </c>
      <c r="U85" s="169">
        <v>455</v>
      </c>
      <c r="V85" s="99">
        <f>U85*(1+$N$86+$Q$15*S85/36500)</f>
        <v>464.98257534246585</v>
      </c>
      <c r="W85" s="32">
        <f t="shared" si="18"/>
        <v>474.28222684931518</v>
      </c>
      <c r="X85" s="32">
        <f t="shared" si="19"/>
        <v>483.58187835616451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7"/>
        <v>70</v>
      </c>
      <c r="AM85" s="117">
        <f t="shared" si="9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70">
        <v>1013762</v>
      </c>
      <c r="R86" s="169" t="s">
        <v>4654</v>
      </c>
      <c r="S86" s="169">
        <f>S85</f>
        <v>14</v>
      </c>
      <c r="T86" s="169" t="s">
        <v>4659</v>
      </c>
      <c r="U86" s="169">
        <v>217.1</v>
      </c>
      <c r="V86" s="99">
        <f>U86*(1+$N$86+$Q$15*S86/36500)</f>
        <v>221.86311452054798</v>
      </c>
      <c r="W86" s="32">
        <f t="shared" si="18"/>
        <v>226.30037681095894</v>
      </c>
      <c r="X86" s="32">
        <f t="shared" si="19"/>
        <v>230.73763910136992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7"/>
        <v>65</v>
      </c>
      <c r="AM86" s="117">
        <f t="shared" si="9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Q87" s="170">
        <v>13858128</v>
      </c>
      <c r="R87" s="169" t="s">
        <v>4654</v>
      </c>
      <c r="S87" s="169">
        <f>S86</f>
        <v>14</v>
      </c>
      <c r="T87" s="169" t="s">
        <v>4660</v>
      </c>
      <c r="U87" s="169">
        <v>4500.5</v>
      </c>
      <c r="V87" s="99">
        <f>U87*(1+$N$86+$Q$15*S87/36500)</f>
        <v>4599.239736986302</v>
      </c>
      <c r="W87" s="32">
        <f t="shared" si="18"/>
        <v>4691.2245317260285</v>
      </c>
      <c r="X87" s="32">
        <f t="shared" si="19"/>
        <v>4783.2093264657542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7"/>
        <v>63</v>
      </c>
      <c r="AM87" s="117">
        <f t="shared" si="9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70">
        <v>4068640</v>
      </c>
      <c r="R88" s="169" t="s">
        <v>4664</v>
      </c>
      <c r="S88" s="169">
        <f>S87-1</f>
        <v>13</v>
      </c>
      <c r="T88" s="169" t="s">
        <v>4665</v>
      </c>
      <c r="U88" s="169">
        <v>3322.3</v>
      </c>
      <c r="V88" s="99">
        <f>U88*(1+$N$86+$Q$15*S88/36500)</f>
        <v>3392.6417380821922</v>
      </c>
      <c r="W88" s="32">
        <f t="shared" si="18"/>
        <v>3460.4945728438361</v>
      </c>
      <c r="X88" s="32">
        <f t="shared" si="19"/>
        <v>3528.3474076054799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9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70">
        <v>12656982</v>
      </c>
      <c r="R89" s="169" t="s">
        <v>4664</v>
      </c>
      <c r="S89" s="169">
        <f>S88</f>
        <v>13</v>
      </c>
      <c r="T89" s="169" t="s">
        <v>4666</v>
      </c>
      <c r="U89" s="169">
        <v>5249.9</v>
      </c>
      <c r="V89" s="99">
        <f>U89*(1+$N$86+$Q$15*S89/36500)</f>
        <v>5361.054047123288</v>
      </c>
      <c r="W89" s="32">
        <f t="shared" si="18"/>
        <v>5468.275128065754</v>
      </c>
      <c r="X89" s="32">
        <f t="shared" si="19"/>
        <v>5575.4962090082199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7"/>
        <v>60</v>
      </c>
      <c r="AM89" s="117">
        <f t="shared" si="9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7" t="s">
        <v>4549</v>
      </c>
      <c r="Q90" s="170">
        <v>100905</v>
      </c>
      <c r="R90" s="169" t="s">
        <v>4667</v>
      </c>
      <c r="S90" s="169">
        <f>S89-1</f>
        <v>12</v>
      </c>
      <c r="T90" s="169" t="s">
        <v>4673</v>
      </c>
      <c r="U90" s="169">
        <v>372</v>
      </c>
      <c r="V90" s="99">
        <f>U90*(1+$N$86+$Q$15*S90/36500)</f>
        <v>379.59083835616445</v>
      </c>
      <c r="W90" s="32">
        <f t="shared" si="18"/>
        <v>387.18265512328776</v>
      </c>
      <c r="X90" s="32">
        <f t="shared" si="19"/>
        <v>394.77447189041106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7"/>
        <v>59</v>
      </c>
      <c r="AM90" s="117">
        <f t="shared" si="9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170">
        <v>48637534</v>
      </c>
      <c r="R91" s="169" t="s">
        <v>4667</v>
      </c>
      <c r="S91" s="169">
        <f>S90</f>
        <v>12</v>
      </c>
      <c r="T91" s="169" t="s">
        <v>4671</v>
      </c>
      <c r="U91" s="169">
        <v>5330</v>
      </c>
      <c r="V91" s="99">
        <f>U91*(1+$N$86+$Q$15*S91/36500)</f>
        <v>5438.7612054794527</v>
      </c>
      <c r="W91" s="32">
        <f t="shared" si="18"/>
        <v>5547.5364295890422</v>
      </c>
      <c r="X91" s="32">
        <f t="shared" si="19"/>
        <v>5656.3116536986308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7"/>
        <v>58</v>
      </c>
      <c r="AM91" s="117">
        <f t="shared" si="9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70">
        <v>40048573</v>
      </c>
      <c r="R92" s="169" t="s">
        <v>4667</v>
      </c>
      <c r="S92" s="169">
        <f>S91</f>
        <v>12</v>
      </c>
      <c r="T92" s="169" t="s">
        <v>4672</v>
      </c>
      <c r="U92" s="169">
        <v>498.9</v>
      </c>
      <c r="V92" s="99">
        <f>U92*(1+$N$86+$Q$15*S92/36500)</f>
        <v>509.08029369863021</v>
      </c>
      <c r="W92" s="32">
        <f t="shared" si="18"/>
        <v>519.26189957260283</v>
      </c>
      <c r="X92" s="32">
        <f t="shared" si="19"/>
        <v>529.44350544657539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7"/>
        <v>57</v>
      </c>
      <c r="AM92" s="117">
        <f t="shared" si="9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170">
        <v>1000495</v>
      </c>
      <c r="R93" s="169" t="s">
        <v>4684</v>
      </c>
      <c r="S93" s="169">
        <f>S92-1</f>
        <v>11</v>
      </c>
      <c r="T93" s="169" t="s">
        <v>4767</v>
      </c>
      <c r="U93" s="169">
        <v>724.8</v>
      </c>
      <c r="V93" s="99">
        <f>U93*(1+$N$86+$Q$15*S93/36500)</f>
        <v>739.03388054794516</v>
      </c>
      <c r="W93" s="32">
        <f t="shared" si="18"/>
        <v>753.81455815890411</v>
      </c>
      <c r="X93" s="32">
        <f t="shared" si="19"/>
        <v>768.59523576986294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9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170">
        <v>37856769</v>
      </c>
      <c r="R94" s="169" t="s">
        <v>4684</v>
      </c>
      <c r="S94" s="169">
        <f>S93</f>
        <v>11</v>
      </c>
      <c r="T94" s="169" t="s">
        <v>4686</v>
      </c>
      <c r="U94" s="169">
        <v>5393.6</v>
      </c>
      <c r="V94" s="99">
        <f>U94*(1+$N$86+$Q$15*S94/36500)</f>
        <v>5499.5214378082201</v>
      </c>
      <c r="W94" s="32">
        <f t="shared" si="18"/>
        <v>5609.5118665643849</v>
      </c>
      <c r="X94" s="32">
        <f t="shared" si="19"/>
        <v>5719.5022953205489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9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70">
        <v>155151</v>
      </c>
      <c r="R95" s="169" t="s">
        <v>4697</v>
      </c>
      <c r="S95" s="169">
        <f>S94-3</f>
        <v>8</v>
      </c>
      <c r="T95" s="169" t="s">
        <v>4699</v>
      </c>
      <c r="U95" s="169">
        <v>5325.9</v>
      </c>
      <c r="V95" s="99">
        <f>U95*(1+$N$86+$Q$15*S95/36500)</f>
        <v>5418.2350553424658</v>
      </c>
      <c r="W95" s="32">
        <f t="shared" si="18"/>
        <v>5526.5997564493155</v>
      </c>
      <c r="X95" s="32">
        <f t="shared" si="19"/>
        <v>5634.9644575561642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0">AL96+AK95</f>
        <v>51</v>
      </c>
      <c r="AM95" s="117">
        <f t="shared" si="9"/>
        <v>115719000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170">
        <v>109726</v>
      </c>
      <c r="R96" s="169" t="s">
        <v>4697</v>
      </c>
      <c r="S96" s="169">
        <f>S95</f>
        <v>8</v>
      </c>
      <c r="T96" s="169" t="s">
        <v>4700</v>
      </c>
      <c r="U96" s="169">
        <v>3900.7</v>
      </c>
      <c r="V96" s="99">
        <f>U96*(1+$N$86+$Q$15*S96/36500)</f>
        <v>3968.3263824657533</v>
      </c>
      <c r="W96" s="32">
        <f t="shared" si="18"/>
        <v>4047.6929101150686</v>
      </c>
      <c r="X96" s="32">
        <f t="shared" si="19"/>
        <v>4127.0594377643838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0"/>
        <v>50</v>
      </c>
      <c r="AM96" s="117">
        <f t="shared" si="9"/>
        <v>37500000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170">
        <v>8938737</v>
      </c>
      <c r="R97" s="169" t="s">
        <v>4703</v>
      </c>
      <c r="S97" s="169">
        <f>S96-1</f>
        <v>7</v>
      </c>
      <c r="T97" s="169" t="s">
        <v>4705</v>
      </c>
      <c r="U97" s="169">
        <v>5179.5</v>
      </c>
      <c r="V97" s="99">
        <f>U97*(1+$N$86+$Q$15*S97/36500)</f>
        <v>5265.3236054794525</v>
      </c>
      <c r="W97" s="32">
        <f t="shared" si="18"/>
        <v>5370.6300775890413</v>
      </c>
      <c r="X97" s="32">
        <f t="shared" si="19"/>
        <v>5475.9365496986311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0"/>
        <v>46</v>
      </c>
      <c r="AM97" s="117">
        <f t="shared" si="9"/>
        <v>87400000</v>
      </c>
      <c r="AN97" s="99"/>
    </row>
    <row r="98" spans="4:47">
      <c r="D98" s="2"/>
      <c r="E98" s="3"/>
      <c r="H98" s="96"/>
      <c r="M98" t="s">
        <v>4554</v>
      </c>
      <c r="P98" s="115"/>
      <c r="Q98" s="170">
        <v>2595417</v>
      </c>
      <c r="R98" s="169" t="s">
        <v>4713</v>
      </c>
      <c r="S98" s="169">
        <f>S97-1</f>
        <v>6</v>
      </c>
      <c r="T98" s="169" t="s">
        <v>4714</v>
      </c>
      <c r="U98" s="169">
        <v>4803</v>
      </c>
      <c r="V98" s="99">
        <f>U98*(1+$N$86+$Q$15*S98/36500)</f>
        <v>4878.9005589041099</v>
      </c>
      <c r="W98" s="32">
        <f t="shared" si="18"/>
        <v>4976.4785700821922</v>
      </c>
      <c r="X98" s="32">
        <f t="shared" si="19"/>
        <v>5074.0565812602745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0"/>
        <v>43</v>
      </c>
      <c r="AM98" s="117">
        <f t="shared" si="9"/>
        <v>275200000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70">
        <v>2505816</v>
      </c>
      <c r="R99" s="169" t="s">
        <v>4713</v>
      </c>
      <c r="S99" s="169">
        <f>S98</f>
        <v>6</v>
      </c>
      <c r="T99" s="169" t="s">
        <v>4715</v>
      </c>
      <c r="U99" s="169">
        <v>3723</v>
      </c>
      <c r="V99" s="99">
        <f>U99*(1+$N$86+$Q$15*S99/36500)</f>
        <v>3781.8335999999999</v>
      </c>
      <c r="W99" s="32">
        <f t="shared" si="18"/>
        <v>3857.470272</v>
      </c>
      <c r="X99" s="32">
        <f t="shared" si="19"/>
        <v>3933.1069440000001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0"/>
        <v>42</v>
      </c>
      <c r="AM99" s="117">
        <f t="shared" si="9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70">
        <v>183283</v>
      </c>
      <c r="R100" s="217" t="s">
        <v>4717</v>
      </c>
      <c r="S100" s="217">
        <f>S99-1</f>
        <v>5</v>
      </c>
      <c r="T100" s="217" t="s">
        <v>4734</v>
      </c>
      <c r="U100" s="217">
        <v>347.5</v>
      </c>
      <c r="V100" s="99">
        <f>U100*(1+$N$86+$Q$15*S100/36500)</f>
        <v>352.72487671232881</v>
      </c>
      <c r="W100" s="32">
        <f t="shared" si="18"/>
        <v>359.7793742465754</v>
      </c>
      <c r="X100" s="32">
        <f t="shared" si="19"/>
        <v>366.83387178082199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0"/>
        <v>37</v>
      </c>
      <c r="AM100" s="117">
        <f t="shared" si="9"/>
        <v>-64755476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170">
        <v>177438</v>
      </c>
      <c r="R101" s="217" t="s">
        <v>4717</v>
      </c>
      <c r="S101" s="217">
        <f t="shared" ref="S101:S106" si="21">S100</f>
        <v>5</v>
      </c>
      <c r="T101" s="217" t="s">
        <v>4728</v>
      </c>
      <c r="U101" s="217">
        <v>207.3</v>
      </c>
      <c r="V101" s="99">
        <f>U101*(1+$N$86+$Q$15*S101/36500)</f>
        <v>210.41688328767125</v>
      </c>
      <c r="W101" s="32">
        <f t="shared" si="18"/>
        <v>214.62522095342467</v>
      </c>
      <c r="X101" s="32">
        <f t="shared" si="19"/>
        <v>218.83355861917812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0"/>
        <v>36</v>
      </c>
      <c r="AM101" s="117">
        <f t="shared" si="9"/>
        <v>14400000</v>
      </c>
      <c r="AN101" s="99"/>
    </row>
    <row r="102" spans="4:47">
      <c r="K102" s="96"/>
      <c r="L102" s="96"/>
      <c r="M102" s="96"/>
      <c r="N102" s="96"/>
      <c r="Q102" s="170">
        <v>559461</v>
      </c>
      <c r="R102" s="217" t="s">
        <v>4717</v>
      </c>
      <c r="S102" s="217">
        <f t="shared" si="21"/>
        <v>5</v>
      </c>
      <c r="T102" s="217" t="s">
        <v>4729</v>
      </c>
      <c r="U102" s="217">
        <v>508.1</v>
      </c>
      <c r="V102" s="99">
        <f>U102*(1+$N$86+$Q$15*S102/36500)</f>
        <v>515.73959671232888</v>
      </c>
      <c r="W102" s="32">
        <f t="shared" si="18"/>
        <v>526.05438864657549</v>
      </c>
      <c r="X102" s="32">
        <f t="shared" si="19"/>
        <v>536.3691805808221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0"/>
        <v>36</v>
      </c>
      <c r="AM102" s="117">
        <f t="shared" si="9"/>
        <v>-75795156</v>
      </c>
      <c r="AN102" s="99"/>
      <c r="AO102" t="s">
        <v>25</v>
      </c>
    </row>
    <row r="103" spans="4:47">
      <c r="Q103" s="170">
        <v>169080</v>
      </c>
      <c r="R103" s="217" t="s">
        <v>4717</v>
      </c>
      <c r="S103" s="217">
        <f t="shared" si="21"/>
        <v>5</v>
      </c>
      <c r="T103" s="217" t="s">
        <v>4730</v>
      </c>
      <c r="U103" s="217">
        <v>168.3</v>
      </c>
      <c r="V103" s="99">
        <f>U103*(1+$N$86+$Q$15*S103/36500)</f>
        <v>170.83049424657537</v>
      </c>
      <c r="W103" s="32">
        <f t="shared" si="18"/>
        <v>174.24710413150689</v>
      </c>
      <c r="X103" s="32">
        <f t="shared" si="19"/>
        <v>177.66371401643838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0"/>
        <v>35</v>
      </c>
      <c r="AM103" s="117">
        <f t="shared" si="9"/>
        <v>-193466630</v>
      </c>
      <c r="AN103" s="99"/>
    </row>
    <row r="104" spans="4:47">
      <c r="Q104" s="170">
        <v>9376000</v>
      </c>
      <c r="R104" s="217" t="s">
        <v>4717</v>
      </c>
      <c r="S104" s="217">
        <f>S103</f>
        <v>5</v>
      </c>
      <c r="T104" s="217" t="s">
        <v>4731</v>
      </c>
      <c r="U104" s="217">
        <v>3184.1</v>
      </c>
      <c r="V104" s="99">
        <f>U104*(1+$N$86+$Q$15*S104/36500)</f>
        <v>3231.9749063013701</v>
      </c>
      <c r="W104" s="32">
        <f t="shared" si="18"/>
        <v>3296.6144044273974</v>
      </c>
      <c r="X104" s="32">
        <f t="shared" si="19"/>
        <v>3361.2539025534252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0"/>
        <v>35</v>
      </c>
      <c r="AM104" s="117">
        <f t="shared" si="9"/>
        <v>136500000</v>
      </c>
      <c r="AN104" s="99"/>
    </row>
    <row r="105" spans="4:47">
      <c r="F105" s="99" t="s">
        <v>4766</v>
      </c>
      <c r="G105" s="99" t="s">
        <v>941</v>
      </c>
      <c r="H105" s="99" t="s">
        <v>4739</v>
      </c>
      <c r="I105" s="99" t="s">
        <v>4738</v>
      </c>
      <c r="J105" s="32" t="s">
        <v>4555</v>
      </c>
      <c r="K105" s="169" t="s">
        <v>4721</v>
      </c>
      <c r="L105" s="32" t="s">
        <v>4723</v>
      </c>
      <c r="M105" s="32" t="s">
        <v>4688</v>
      </c>
      <c r="N105" s="169" t="s">
        <v>4689</v>
      </c>
      <c r="Q105" s="170">
        <v>128675</v>
      </c>
      <c r="R105" s="217" t="s">
        <v>4717</v>
      </c>
      <c r="S105" s="217">
        <f t="shared" si="21"/>
        <v>5</v>
      </c>
      <c r="T105" s="217" t="s">
        <v>4732</v>
      </c>
      <c r="U105" s="217">
        <v>699.9</v>
      </c>
      <c r="V105" s="99">
        <f>U105*(1+$N$86+$Q$15*S105/36500)</f>
        <v>710.4234279452055</v>
      </c>
      <c r="W105" s="32">
        <f t="shared" si="18"/>
        <v>724.63189650410959</v>
      </c>
      <c r="X105" s="32">
        <f t="shared" si="19"/>
        <v>738.84036506301379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0"/>
        <v>32</v>
      </c>
      <c r="AM105" s="117">
        <f t="shared" si="9"/>
        <v>-127032128</v>
      </c>
      <c r="AN105" s="99"/>
    </row>
    <row r="106" spans="4:47">
      <c r="F106" s="185">
        <f>$L$114/G106</f>
        <v>24893.992932862187</v>
      </c>
      <c r="G106" s="185">
        <f>P54</f>
        <v>169.8</v>
      </c>
      <c r="H106" s="185" t="s">
        <v>4743</v>
      </c>
      <c r="I106" s="185" t="s">
        <v>4742</v>
      </c>
      <c r="J106" s="222" t="s">
        <v>4244</v>
      </c>
      <c r="K106" s="203">
        <v>60</v>
      </c>
      <c r="L106" s="223">
        <f>K106*$L$114</f>
        <v>253620000</v>
      </c>
      <c r="M106" s="223">
        <f>N21+N29+N54</f>
        <v>229888314.59999999</v>
      </c>
      <c r="N106" s="186">
        <f t="shared" ref="N106:N112" si="22">L106-M106</f>
        <v>23731685.400000006</v>
      </c>
      <c r="Q106" s="170">
        <v>101201</v>
      </c>
      <c r="R106" s="217" t="s">
        <v>4717</v>
      </c>
      <c r="S106" s="217">
        <f t="shared" si="21"/>
        <v>5</v>
      </c>
      <c r="T106" s="217" t="s">
        <v>4733</v>
      </c>
      <c r="U106" s="217">
        <v>290.3</v>
      </c>
      <c r="V106" s="99">
        <f>U106*(1+$N$86+$Q$15*S106/36500)</f>
        <v>294.66483945205482</v>
      </c>
      <c r="W106" s="32">
        <f t="shared" si="18"/>
        <v>300.55813624109589</v>
      </c>
      <c r="X106" s="32">
        <f t="shared" si="19"/>
        <v>306.45143303013703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0"/>
        <v>31</v>
      </c>
      <c r="AM106" s="117">
        <f t="shared" si="9"/>
        <v>-792808105</v>
      </c>
      <c r="AN106" s="99"/>
      <c r="AP106" t="s">
        <v>25</v>
      </c>
    </row>
    <row r="107" spans="4:47">
      <c r="F107" s="99">
        <f>$L$114/G107</f>
        <v>816.79581070897177</v>
      </c>
      <c r="G107" s="99">
        <f>P45</f>
        <v>5175.1000000000004</v>
      </c>
      <c r="H107" s="99" t="s">
        <v>4745</v>
      </c>
      <c r="I107" s="99" t="s">
        <v>4744</v>
      </c>
      <c r="J107" s="32" t="s">
        <v>4401</v>
      </c>
      <c r="K107" s="169">
        <v>30</v>
      </c>
      <c r="L107" s="1">
        <f>K107*$L$114</f>
        <v>126810000</v>
      </c>
      <c r="M107" s="1">
        <f>N24+N45+N27</f>
        <v>113722822.50000001</v>
      </c>
      <c r="N107" s="113">
        <f t="shared" si="22"/>
        <v>13087177.499999985</v>
      </c>
      <c r="Q107" s="170">
        <v>13100555</v>
      </c>
      <c r="R107" s="217" t="s">
        <v>4750</v>
      </c>
      <c r="S107" s="217">
        <f>S106-1</f>
        <v>4</v>
      </c>
      <c r="T107" s="217" t="s">
        <v>4754</v>
      </c>
      <c r="U107" s="217">
        <v>3180.5</v>
      </c>
      <c r="V107" s="99">
        <f>U107*(1+$N$86+$Q$15*S107/36500)</f>
        <v>3225.8809424657538</v>
      </c>
      <c r="W107" s="32">
        <f t="shared" si="18"/>
        <v>3290.3985613150689</v>
      </c>
      <c r="X107" s="32">
        <f t="shared" si="19"/>
        <v>3354.9161801643841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0"/>
        <v>31</v>
      </c>
      <c r="AM107" s="117">
        <f t="shared" si="9"/>
        <v>124000000</v>
      </c>
      <c r="AN107" s="99"/>
    </row>
    <row r="108" spans="4:47">
      <c r="F108" s="185">
        <f>$L$114/G108</f>
        <v>1326.8669366230342</v>
      </c>
      <c r="G108" s="185">
        <f>P42</f>
        <v>3185.7</v>
      </c>
      <c r="H108" s="185" t="s">
        <v>3882</v>
      </c>
      <c r="I108" s="185" t="s">
        <v>4746</v>
      </c>
      <c r="J108" s="222" t="s">
        <v>4397</v>
      </c>
      <c r="K108" s="203">
        <v>30</v>
      </c>
      <c r="L108" s="223">
        <f>K108*$L$114</f>
        <v>126810000</v>
      </c>
      <c r="M108" s="223">
        <f>N42</f>
        <v>36539979</v>
      </c>
      <c r="N108" s="186">
        <f t="shared" si="22"/>
        <v>90270021</v>
      </c>
      <c r="Q108" s="170">
        <v>622942</v>
      </c>
      <c r="R108" s="217" t="s">
        <v>4750</v>
      </c>
      <c r="S108" s="217">
        <f>S107</f>
        <v>4</v>
      </c>
      <c r="T108" s="217" t="s">
        <v>4755</v>
      </c>
      <c r="U108" s="217">
        <v>503.3</v>
      </c>
      <c r="V108" s="99">
        <f>U108*(1+$N$86+$Q$15*S108/36500)</f>
        <v>510.48133260273983</v>
      </c>
      <c r="W108" s="32">
        <f t="shared" si="18"/>
        <v>520.69095925479462</v>
      </c>
      <c r="X108" s="32">
        <f t="shared" si="19"/>
        <v>530.90058590684941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0"/>
        <v>30</v>
      </c>
      <c r="AM108" s="117">
        <f t="shared" si="9"/>
        <v>-150000000</v>
      </c>
      <c r="AN108" s="99"/>
    </row>
    <row r="109" spans="4:47">
      <c r="F109" s="99">
        <f>$L$114/G109</f>
        <v>8427.0334928229659</v>
      </c>
      <c r="G109" s="99">
        <f>P46</f>
        <v>501.6</v>
      </c>
      <c r="H109" s="99" t="s">
        <v>4741</v>
      </c>
      <c r="I109" s="99" t="s">
        <v>4740</v>
      </c>
      <c r="J109" s="32" t="s">
        <v>4416</v>
      </c>
      <c r="K109" s="169">
        <v>30</v>
      </c>
      <c r="L109" s="1">
        <f>K109*$L$114</f>
        <v>126810000</v>
      </c>
      <c r="M109" s="1">
        <f>N46+N23+N28</f>
        <v>47967004.799999997</v>
      </c>
      <c r="N109" s="113">
        <f t="shared" si="22"/>
        <v>78842995.200000003</v>
      </c>
      <c r="Q109" s="170">
        <v>1472140</v>
      </c>
      <c r="R109" s="169" t="s">
        <v>4761</v>
      </c>
      <c r="S109" s="169">
        <f>S108-3</f>
        <v>1</v>
      </c>
      <c r="T109" s="169" t="s">
        <v>4765</v>
      </c>
      <c r="U109" s="169">
        <v>502</v>
      </c>
      <c r="V109" s="99">
        <f>U109*(1+$N$86+$Q$15*S109/36500)</f>
        <v>508.00749589041095</v>
      </c>
      <c r="W109" s="32">
        <f t="shared" si="18"/>
        <v>518.16764580821916</v>
      </c>
      <c r="X109" s="32">
        <f t="shared" si="19"/>
        <v>528.32779572602738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0"/>
        <v>28</v>
      </c>
      <c r="AM109" s="117">
        <f t="shared" si="9"/>
        <v>280000000</v>
      </c>
      <c r="AN109" s="99"/>
    </row>
    <row r="110" spans="4:47">
      <c r="F110" s="185">
        <f>$L$114/G110</f>
        <v>937.04278430503211</v>
      </c>
      <c r="G110" s="185">
        <f>P49</f>
        <v>4511</v>
      </c>
      <c r="H110" s="185" t="s">
        <v>4747</v>
      </c>
      <c r="I110" s="185" t="s">
        <v>4746</v>
      </c>
      <c r="J110" s="222" t="s">
        <v>4551</v>
      </c>
      <c r="K110" s="203">
        <v>19</v>
      </c>
      <c r="L110" s="223">
        <f>K110*$L$114</f>
        <v>80313000</v>
      </c>
      <c r="M110" s="223">
        <f>N49</f>
        <v>13826215</v>
      </c>
      <c r="N110" s="186">
        <f t="shared" si="22"/>
        <v>66486785</v>
      </c>
      <c r="Q110" s="170">
        <v>4394591</v>
      </c>
      <c r="R110" s="169" t="s">
        <v>4769</v>
      </c>
      <c r="S110" s="169">
        <f>S109-1</f>
        <v>0</v>
      </c>
      <c r="T110" s="169" t="s">
        <v>4770</v>
      </c>
      <c r="U110" s="169">
        <v>481.7</v>
      </c>
      <c r="V110" s="99">
        <f>U110*(1+$N$86+$Q$15*S110/36500)</f>
        <v>487.09504000000004</v>
      </c>
      <c r="W110" s="32">
        <f t="shared" si="18"/>
        <v>496.83694080000004</v>
      </c>
      <c r="X110" s="32">
        <f t="shared" si="19"/>
        <v>506.57884160000003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0"/>
        <v>24</v>
      </c>
      <c r="AM110" s="117">
        <f t="shared" si="9"/>
        <v>-125806488</v>
      </c>
      <c r="AN110" s="99"/>
    </row>
    <row r="111" spans="4:47">
      <c r="F111" s="99">
        <f>$L$114/G111</f>
        <v>1084.3188056332247</v>
      </c>
      <c r="G111" s="99">
        <f>P47</f>
        <v>3898.3</v>
      </c>
      <c r="H111" s="99" t="s">
        <v>4748</v>
      </c>
      <c r="I111" s="99" t="s">
        <v>4749</v>
      </c>
      <c r="J111" s="32" t="s">
        <v>4552</v>
      </c>
      <c r="K111" s="169">
        <v>19</v>
      </c>
      <c r="L111" s="1">
        <f>K111*$L$114</f>
        <v>80313000</v>
      </c>
      <c r="M111" s="1">
        <f>N47</f>
        <v>2721013.4</v>
      </c>
      <c r="N111" s="113">
        <f t="shared" si="22"/>
        <v>77591986.599999994</v>
      </c>
      <c r="Q111" s="170"/>
      <c r="R111" s="169"/>
      <c r="S111" s="169"/>
      <c r="T111" s="169"/>
      <c r="U111" s="169"/>
      <c r="V111" s="99"/>
      <c r="W111" s="32"/>
      <c r="X111" s="32"/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0"/>
        <v>24</v>
      </c>
      <c r="AM111" s="117">
        <f t="shared" si="9"/>
        <v>525600000</v>
      </c>
      <c r="AN111" s="99"/>
      <c r="AP111" t="s">
        <v>25</v>
      </c>
      <c r="AR111" s="96"/>
      <c r="AS111" s="96"/>
      <c r="AT111"/>
      <c r="AU111"/>
    </row>
    <row r="112" spans="4:47">
      <c r="F112" s="185"/>
      <c r="G112" s="185"/>
      <c r="H112" s="185"/>
      <c r="I112" s="185"/>
      <c r="J112" s="222" t="s">
        <v>4702</v>
      </c>
      <c r="K112" s="203">
        <v>5</v>
      </c>
      <c r="L112" s="223">
        <f>K112*$L$114</f>
        <v>21135000</v>
      </c>
      <c r="M112" s="223">
        <f>N22+N48+N43+N44+N51+N50+N53</f>
        <v>15786111.5</v>
      </c>
      <c r="N112" s="186">
        <f t="shared" si="22"/>
        <v>5348888.5</v>
      </c>
      <c r="Q112" s="170"/>
      <c r="R112" s="169"/>
      <c r="S112" s="169"/>
      <c r="T112" s="169"/>
      <c r="U112" s="169"/>
      <c r="V112" s="99">
        <f>U112*(1+$N$86+$Q$15*S112/36500)</f>
        <v>0</v>
      </c>
      <c r="W112" s="32">
        <f t="shared" si="18"/>
        <v>0</v>
      </c>
      <c r="X112" s="32">
        <f t="shared" si="19"/>
        <v>0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0"/>
        <v>22</v>
      </c>
      <c r="AM112" s="117">
        <f t="shared" si="9"/>
        <v>-330000000</v>
      </c>
      <c r="AN112" s="99"/>
      <c r="AO112" t="s">
        <v>25</v>
      </c>
    </row>
    <row r="113" spans="6:43">
      <c r="F113" s="99"/>
      <c r="G113" s="99"/>
      <c r="H113" s="99"/>
      <c r="I113" s="99"/>
      <c r="J113" s="169" t="s">
        <v>4724</v>
      </c>
      <c r="K113" s="169">
        <f>SUM(K106:K112)</f>
        <v>193</v>
      </c>
      <c r="L113" s="169"/>
      <c r="M113" s="169"/>
      <c r="N113" s="170"/>
      <c r="Q113" s="113">
        <f>SUM(N42:N55)-SUM(Q58:Q112)</f>
        <v>-30665934.299999952</v>
      </c>
      <c r="R113" s="112"/>
      <c r="S113" s="112"/>
      <c r="T113" s="112"/>
      <c r="U113" s="169"/>
      <c r="V113" s="99" t="s">
        <v>25</v>
      </c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0"/>
        <v>22</v>
      </c>
      <c r="AM113" s="117">
        <f t="shared" si="9"/>
        <v>66000000</v>
      </c>
      <c r="AN113" s="99"/>
    </row>
    <row r="114" spans="6:43">
      <c r="F114" s="185"/>
      <c r="G114" s="185"/>
      <c r="H114" s="185"/>
      <c r="I114" s="185"/>
      <c r="J114" s="203"/>
      <c r="K114" s="203">
        <v>79</v>
      </c>
      <c r="L114" s="223">
        <v>4227000</v>
      </c>
      <c r="M114" s="223">
        <f>K114*L114</f>
        <v>333933000</v>
      </c>
      <c r="N114" s="186">
        <f>SUM(N106:N112)-M114</f>
        <v>21426539.200000048</v>
      </c>
      <c r="Q114" s="26"/>
      <c r="R114" s="183"/>
      <c r="S114" s="183"/>
      <c r="T114" t="s">
        <v>25</v>
      </c>
      <c r="U114" s="96" t="s">
        <v>25</v>
      </c>
      <c r="V114" s="96" t="s">
        <v>25</v>
      </c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0"/>
        <v>21</v>
      </c>
      <c r="AM114" s="117">
        <f t="shared" si="9"/>
        <v>-44178456</v>
      </c>
      <c r="AN114" s="99"/>
    </row>
    <row r="115" spans="6:43" ht="30">
      <c r="F115" s="99"/>
      <c r="G115" s="99"/>
      <c r="H115" s="99"/>
      <c r="I115" s="99"/>
      <c r="J115" s="169"/>
      <c r="K115" s="218" t="s">
        <v>4736</v>
      </c>
      <c r="L115" s="169" t="s">
        <v>4254</v>
      </c>
      <c r="M115" s="169" t="s">
        <v>4711</v>
      </c>
      <c r="N115" s="169" t="s">
        <v>4712</v>
      </c>
      <c r="R115" s="32" t="s">
        <v>4591</v>
      </c>
      <c r="S115" s="32" t="s">
        <v>950</v>
      </c>
      <c r="T115" t="s">
        <v>25</v>
      </c>
      <c r="U115" s="96" t="s">
        <v>25</v>
      </c>
      <c r="V115" s="96" t="s">
        <v>25</v>
      </c>
      <c r="W115" s="96" t="s">
        <v>25</v>
      </c>
      <c r="X115" s="122" t="s">
        <v>25</v>
      </c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0"/>
        <v>21</v>
      </c>
      <c r="AM115" s="117">
        <f t="shared" si="9"/>
        <v>4620000</v>
      </c>
      <c r="AN115" s="99"/>
      <c r="AQ115" t="s">
        <v>25</v>
      </c>
    </row>
    <row r="116" spans="6:43">
      <c r="F116" s="185"/>
      <c r="G116" s="185"/>
      <c r="H116" s="185"/>
      <c r="I116" s="185"/>
      <c r="J116" s="203" t="s">
        <v>4722</v>
      </c>
      <c r="K116" s="203"/>
      <c r="L116" s="203"/>
      <c r="M116" s="203"/>
      <c r="N116" s="203"/>
      <c r="P116" s="114"/>
      <c r="R116" s="32">
        <v>20</v>
      </c>
      <c r="S116" s="170">
        <v>7991977</v>
      </c>
      <c r="U116" s="96" t="s">
        <v>25</v>
      </c>
      <c r="V116" s="122" t="s">
        <v>25</v>
      </c>
      <c r="X116" t="s">
        <v>25</v>
      </c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0"/>
        <v>18</v>
      </c>
      <c r="AM116" s="117">
        <f t="shared" si="9"/>
        <v>72000000</v>
      </c>
      <c r="AN116" s="99"/>
    </row>
    <row r="117" spans="6:43">
      <c r="M117" t="s">
        <v>25</v>
      </c>
      <c r="Q117" t="s">
        <v>25</v>
      </c>
      <c r="R117" s="32">
        <v>10</v>
      </c>
      <c r="S117" s="1">
        <f>S116*R117/R116</f>
        <v>3995988.5</v>
      </c>
      <c r="U117" s="96" t="s">
        <v>25</v>
      </c>
      <c r="V117" s="122" t="s">
        <v>25</v>
      </c>
      <c r="W117" s="96" t="s">
        <v>25</v>
      </c>
      <c r="X117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0"/>
        <v>17</v>
      </c>
      <c r="AM117" s="117">
        <f t="shared" si="9"/>
        <v>-153000000</v>
      </c>
      <c r="AN117" s="99"/>
      <c r="AP117" t="s">
        <v>25</v>
      </c>
    </row>
    <row r="118" spans="6:43">
      <c r="R118" s="32">
        <f>R116-R117</f>
        <v>10</v>
      </c>
      <c r="S118" s="1">
        <f>R118*S116/R116</f>
        <v>3995988.5</v>
      </c>
      <c r="V118" s="96"/>
      <c r="W118"/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0"/>
        <v>17</v>
      </c>
      <c r="AM118" s="117">
        <f t="shared" si="9"/>
        <v>236300000</v>
      </c>
      <c r="AN118" s="99"/>
    </row>
    <row r="119" spans="6:43">
      <c r="K119" s="169" t="s">
        <v>4555</v>
      </c>
      <c r="L119" s="169" t="s">
        <v>4556</v>
      </c>
      <c r="M119" s="169" t="s">
        <v>4443</v>
      </c>
      <c r="N119" s="56" t="s">
        <v>190</v>
      </c>
      <c r="V119" s="96"/>
      <c r="W119"/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0"/>
        <v>15</v>
      </c>
      <c r="AM119" s="117">
        <f t="shared" si="9"/>
        <v>-121913655</v>
      </c>
      <c r="AN119" s="99"/>
      <c r="AO119" t="s">
        <v>25</v>
      </c>
    </row>
    <row r="120" spans="6:43">
      <c r="K120" s="169" t="s">
        <v>4244</v>
      </c>
      <c r="L120" s="170">
        <v>1100000</v>
      </c>
      <c r="M120" s="170">
        <v>1637000</v>
      </c>
      <c r="N120" s="169">
        <f t="shared" ref="N120:N128" si="23">(M120-L120)*100/L120</f>
        <v>48.81818181818182</v>
      </c>
      <c r="P120" s="114"/>
      <c r="Q120" s="99" t="s">
        <v>4470</v>
      </c>
      <c r="R120" s="99" t="s">
        <v>4472</v>
      </c>
      <c r="S120" s="99"/>
      <c r="T120" s="99" t="s">
        <v>4473</v>
      </c>
      <c r="U120" s="99"/>
      <c r="V120" s="99"/>
      <c r="W120" s="99" t="s">
        <v>4597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0"/>
        <v>14</v>
      </c>
      <c r="AM120" s="117">
        <f t="shared" si="9"/>
        <v>221095686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70">
        <v>1100000</v>
      </c>
      <c r="M121" s="170">
        <v>4748000</v>
      </c>
      <c r="N121" s="169">
        <f t="shared" si="23"/>
        <v>331.63636363636363</v>
      </c>
      <c r="Q121" s="113">
        <v>1000</v>
      </c>
      <c r="R121" s="99">
        <v>0.25</v>
      </c>
      <c r="S121" s="99"/>
      <c r="T121" s="99">
        <f>1-R121</f>
        <v>0.75</v>
      </c>
      <c r="U121" s="99"/>
      <c r="V121" s="99"/>
      <c r="W121" s="99"/>
      <c r="AH121" s="99">
        <v>101</v>
      </c>
      <c r="AI121" s="113" t="s">
        <v>4648</v>
      </c>
      <c r="AJ121" s="113">
        <v>8800000</v>
      </c>
      <c r="AK121" s="99">
        <v>0</v>
      </c>
      <c r="AL121" s="99">
        <f t="shared" ref="AL121:AL125" si="24">AL122+AK121</f>
        <v>11</v>
      </c>
      <c r="AM121" s="117">
        <f t="shared" ref="AM121:AM138" si="25">AJ121*AL121</f>
        <v>96800000</v>
      </c>
      <c r="AN121" s="99"/>
      <c r="AP121" t="s">
        <v>25</v>
      </c>
    </row>
    <row r="122" spans="6:43" ht="45">
      <c r="K122" s="5" t="s">
        <v>4551</v>
      </c>
      <c r="L122" s="170">
        <v>1100000</v>
      </c>
      <c r="M122" s="170">
        <v>5137000</v>
      </c>
      <c r="N122" s="169">
        <f t="shared" si="23"/>
        <v>367</v>
      </c>
      <c r="Q122" s="169" t="s">
        <v>4457</v>
      </c>
      <c r="R122" s="169" t="s">
        <v>4475</v>
      </c>
      <c r="S122" s="169" t="s">
        <v>4477</v>
      </c>
      <c r="T122" s="169" t="s">
        <v>180</v>
      </c>
      <c r="U122" s="169" t="s">
        <v>4471</v>
      </c>
      <c r="V122" s="56" t="s">
        <v>4474</v>
      </c>
      <c r="W122" s="99"/>
      <c r="X122" s="115"/>
      <c r="Y122" t="s">
        <v>25</v>
      </c>
      <c r="AH122" s="121">
        <v>102</v>
      </c>
      <c r="AI122" s="79" t="s">
        <v>4648</v>
      </c>
      <c r="AJ122" s="79">
        <v>13071612</v>
      </c>
      <c r="AK122" s="121">
        <v>1</v>
      </c>
      <c r="AL122" s="121">
        <f t="shared" si="24"/>
        <v>11</v>
      </c>
      <c r="AM122" s="79">
        <f t="shared" si="25"/>
        <v>143787732</v>
      </c>
      <c r="AN122" s="212" t="s">
        <v>4651</v>
      </c>
      <c r="AQ122" t="s">
        <v>25</v>
      </c>
    </row>
    <row r="123" spans="6:43">
      <c r="K123" s="19" t="s">
        <v>4397</v>
      </c>
      <c r="L123" s="170">
        <v>1100000</v>
      </c>
      <c r="M123" s="170">
        <v>4300000</v>
      </c>
      <c r="N123" s="169">
        <f t="shared" si="23"/>
        <v>290.90909090909093</v>
      </c>
      <c r="Q123" s="169" t="s">
        <v>751</v>
      </c>
      <c r="R123" s="56">
        <v>1151345</v>
      </c>
      <c r="S123" s="113">
        <f>R123*$T$166</f>
        <v>278739983.41874462</v>
      </c>
      <c r="T123" s="169" t="s">
        <v>4469</v>
      </c>
      <c r="U123" s="169">
        <f>$Q$121*$T$121*S123/$R$146</f>
        <v>439.69907778699428</v>
      </c>
      <c r="V123" s="95">
        <f>S123+U123</f>
        <v>278740423.11782241</v>
      </c>
      <c r="W123" s="99">
        <f>R123*100/U163</f>
        <v>58.626543704932573</v>
      </c>
      <c r="X123" s="163"/>
      <c r="AH123" s="89">
        <v>103</v>
      </c>
      <c r="AI123" s="90" t="s">
        <v>4654</v>
      </c>
      <c r="AJ123" s="90">
        <v>16727037</v>
      </c>
      <c r="AK123" s="89">
        <v>0</v>
      </c>
      <c r="AL123" s="89">
        <f t="shared" si="24"/>
        <v>10</v>
      </c>
      <c r="AM123" s="90">
        <f t="shared" si="25"/>
        <v>167270370</v>
      </c>
      <c r="AN123" s="89" t="s">
        <v>4668</v>
      </c>
    </row>
    <row r="124" spans="6:43">
      <c r="K124" s="5" t="s">
        <v>4416</v>
      </c>
      <c r="L124" s="170">
        <v>1100000</v>
      </c>
      <c r="M124" s="170">
        <v>3191000</v>
      </c>
      <c r="N124" s="169">
        <f t="shared" si="23"/>
        <v>190.09090909090909</v>
      </c>
      <c r="Q124" s="169" t="s">
        <v>4459</v>
      </c>
      <c r="R124" s="56">
        <v>754688</v>
      </c>
      <c r="S124" s="113">
        <f>R124*$T$166</f>
        <v>182709544.58162025</v>
      </c>
      <c r="T124" s="169" t="s">
        <v>4469</v>
      </c>
      <c r="U124" s="169">
        <f>$Q$121*$T$121*S124/$R$146+Q121*R121</f>
        <v>538.21562400228527</v>
      </c>
      <c r="V124" s="95">
        <f>S124+U124</f>
        <v>182710082.79724425</v>
      </c>
      <c r="W124" s="99">
        <f>R124*100/U163</f>
        <v>38.428749866971373</v>
      </c>
      <c r="X124" s="115"/>
      <c r="Y124" t="s">
        <v>25</v>
      </c>
      <c r="AH124" s="99">
        <v>104</v>
      </c>
      <c r="AI124" s="113" t="s">
        <v>4654</v>
      </c>
      <c r="AJ124" s="113">
        <v>12000000</v>
      </c>
      <c r="AK124" s="99">
        <v>1</v>
      </c>
      <c r="AL124" s="99">
        <f t="shared" si="24"/>
        <v>10</v>
      </c>
      <c r="AM124" s="117">
        <f t="shared" si="25"/>
        <v>120000000</v>
      </c>
      <c r="AN124" s="99" t="s">
        <v>4669</v>
      </c>
    </row>
    <row r="125" spans="6:43">
      <c r="K125" s="5" t="s">
        <v>4552</v>
      </c>
      <c r="L125" s="170">
        <v>1100000</v>
      </c>
      <c r="M125" s="170">
        <v>5623000</v>
      </c>
      <c r="N125" s="169">
        <f t="shared" si="23"/>
        <v>411.18181818181819</v>
      </c>
      <c r="P125" s="114"/>
      <c r="Q125" s="169" t="s">
        <v>4458</v>
      </c>
      <c r="R125" s="56">
        <v>57830</v>
      </c>
      <c r="S125" s="113">
        <f>R125*$T$166</f>
        <v>14000610.799635211</v>
      </c>
      <c r="T125" s="169" t="s">
        <v>4469</v>
      </c>
      <c r="U125" s="169">
        <f>$Q$121*$T$121*S125/$R$146</f>
        <v>22.085298210720403</v>
      </c>
      <c r="V125" s="95">
        <f>S125+U125</f>
        <v>14000632.884933421</v>
      </c>
      <c r="W125" s="99">
        <f>R125*100/U163</f>
        <v>2.9447064280960538</v>
      </c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4"/>
        <v>9</v>
      </c>
      <c r="AM125" s="90">
        <f t="shared" si="25"/>
        <v>798279003</v>
      </c>
      <c r="AN125" s="89" t="s">
        <v>4670</v>
      </c>
      <c r="AP125" t="s">
        <v>25</v>
      </c>
    </row>
    <row r="126" spans="6:43">
      <c r="K126" s="19" t="s">
        <v>4401</v>
      </c>
      <c r="L126" s="170">
        <v>1100000</v>
      </c>
      <c r="M126" s="170">
        <v>7728000</v>
      </c>
      <c r="N126" s="169">
        <f t="shared" si="23"/>
        <v>602.5454545454545</v>
      </c>
      <c r="Q126" s="169"/>
      <c r="R126" s="56"/>
      <c r="S126" s="169"/>
      <c r="T126" s="169"/>
      <c r="U126" s="169"/>
      <c r="V126" s="99"/>
      <c r="W126" s="99"/>
      <c r="X126" s="115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25"/>
        <v>808000</v>
      </c>
      <c r="AN126" s="99"/>
    </row>
    <row r="127" spans="6:43">
      <c r="K127" s="5" t="s">
        <v>4554</v>
      </c>
      <c r="L127" s="170">
        <v>1100000</v>
      </c>
      <c r="M127" s="170">
        <v>2904000</v>
      </c>
      <c r="N127" s="169">
        <f t="shared" si="23"/>
        <v>164</v>
      </c>
      <c r="Q127" s="169"/>
      <c r="R127" s="56"/>
      <c r="S127" s="169"/>
      <c r="T127" s="169"/>
      <c r="U127" s="169"/>
      <c r="V127" s="169"/>
      <c r="W127" s="99"/>
      <c r="X127" s="96"/>
      <c r="AH127" s="149">
        <v>107</v>
      </c>
      <c r="AI127" s="191" t="s">
        <v>4667</v>
      </c>
      <c r="AJ127" s="191">
        <v>-48200</v>
      </c>
      <c r="AK127" s="149">
        <v>0</v>
      </c>
      <c r="AL127" s="149">
        <f t="shared" ref="AL127:AL138" si="26">AL128+AK127</f>
        <v>8</v>
      </c>
      <c r="AM127" s="191">
        <f t="shared" si="25"/>
        <v>-385600</v>
      </c>
      <c r="AN127" s="149" t="s">
        <v>4679</v>
      </c>
      <c r="AQ127" t="s">
        <v>25</v>
      </c>
    </row>
    <row r="128" spans="6:43">
      <c r="K128" s="56" t="s">
        <v>1086</v>
      </c>
      <c r="L128" s="170">
        <v>1100000</v>
      </c>
      <c r="M128" s="170">
        <v>3400000</v>
      </c>
      <c r="N128" s="169">
        <f t="shared" si="23"/>
        <v>209.09090909090909</v>
      </c>
      <c r="Q128" s="169"/>
      <c r="R128" s="169"/>
      <c r="S128" s="169"/>
      <c r="T128" s="169"/>
      <c r="U128" s="169"/>
      <c r="V128" s="169"/>
      <c r="W128" s="99"/>
      <c r="X128" s="96"/>
      <c r="AH128" s="89">
        <v>108</v>
      </c>
      <c r="AI128" s="90" t="s">
        <v>4667</v>
      </c>
      <c r="AJ128" s="90">
        <v>39327293</v>
      </c>
      <c r="AK128" s="89">
        <v>4</v>
      </c>
      <c r="AL128" s="149">
        <f t="shared" si="26"/>
        <v>8</v>
      </c>
      <c r="AM128" s="191">
        <f t="shared" si="25"/>
        <v>314618344</v>
      </c>
      <c r="AN128" s="89" t="s">
        <v>4680</v>
      </c>
    </row>
    <row r="129" spans="11:43">
      <c r="K129" s="210" t="s">
        <v>4587</v>
      </c>
      <c r="Q129" s="99"/>
      <c r="R129" s="99"/>
      <c r="S129" s="99"/>
      <c r="T129" s="99" t="s">
        <v>25</v>
      </c>
      <c r="U129" s="99"/>
      <c r="V129" s="99"/>
      <c r="W129" s="99"/>
      <c r="X129" s="96"/>
      <c r="AH129" s="89">
        <v>109</v>
      </c>
      <c r="AI129" s="90" t="s">
        <v>4697</v>
      </c>
      <c r="AJ129" s="90">
        <v>8749050</v>
      </c>
      <c r="AK129" s="89">
        <v>1</v>
      </c>
      <c r="AL129" s="89">
        <f t="shared" si="26"/>
        <v>4</v>
      </c>
      <c r="AM129" s="90">
        <f t="shared" si="25"/>
        <v>34996200</v>
      </c>
      <c r="AN129" s="89" t="s">
        <v>4701</v>
      </c>
    </row>
    <row r="130" spans="11:43">
      <c r="K130" s="210" t="s">
        <v>4588</v>
      </c>
      <c r="P130" s="114"/>
      <c r="Q130" s="99"/>
      <c r="R130" s="99"/>
      <c r="S130" s="99"/>
      <c r="T130" s="99"/>
      <c r="U130" s="99"/>
      <c r="V130" s="99"/>
      <c r="W130" s="99"/>
      <c r="X130" s="96"/>
      <c r="AH130" s="99">
        <v>110</v>
      </c>
      <c r="AI130" s="113" t="s">
        <v>4703</v>
      </c>
      <c r="AJ130" s="113">
        <v>60000</v>
      </c>
      <c r="AK130" s="99">
        <v>1</v>
      </c>
      <c r="AL130" s="99">
        <f t="shared" si="26"/>
        <v>3</v>
      </c>
      <c r="AM130" s="117">
        <f t="shared" si="25"/>
        <v>180000</v>
      </c>
      <c r="AN130" s="99" t="s">
        <v>4704</v>
      </c>
      <c r="AQ130" t="s">
        <v>25</v>
      </c>
    </row>
    <row r="131" spans="11:43">
      <c r="K131" s="210" t="s">
        <v>4589</v>
      </c>
      <c r="P131" s="114"/>
      <c r="Q131" s="99"/>
      <c r="R131" s="99"/>
      <c r="S131" s="99"/>
      <c r="T131" s="99"/>
      <c r="U131" s="99"/>
      <c r="V131" s="99"/>
      <c r="W131" s="99"/>
      <c r="X131" s="96"/>
      <c r="AH131" s="20">
        <v>111</v>
      </c>
      <c r="AI131" s="117" t="s">
        <v>4713</v>
      </c>
      <c r="AJ131" s="117">
        <v>4750000</v>
      </c>
      <c r="AK131" s="20">
        <v>0</v>
      </c>
      <c r="AL131" s="99">
        <f t="shared" si="26"/>
        <v>2</v>
      </c>
      <c r="AM131" s="117">
        <f t="shared" si="25"/>
        <v>9500000</v>
      </c>
      <c r="AN131" s="20"/>
    </row>
    <row r="132" spans="11:43">
      <c r="Q132" s="96"/>
      <c r="R132" s="96"/>
      <c r="S132" s="96"/>
      <c r="T132" s="96"/>
      <c r="V132" s="96"/>
      <c r="X132" s="115"/>
      <c r="AH132" s="89">
        <v>112</v>
      </c>
      <c r="AI132" s="90" t="s">
        <v>4713</v>
      </c>
      <c r="AJ132" s="90">
        <v>13101160</v>
      </c>
      <c r="AK132" s="89">
        <v>1</v>
      </c>
      <c r="AL132" s="89">
        <f t="shared" si="26"/>
        <v>2</v>
      </c>
      <c r="AM132" s="90">
        <f t="shared" si="25"/>
        <v>26202320</v>
      </c>
      <c r="AN132" s="89" t="s">
        <v>4718</v>
      </c>
    </row>
    <row r="133" spans="11:43">
      <c r="Q133" s="96"/>
      <c r="R133" s="96"/>
      <c r="S133" s="96"/>
      <c r="T133" s="96"/>
      <c r="V133" s="96"/>
      <c r="AH133" s="20">
        <v>113</v>
      </c>
      <c r="AI133" s="117" t="s">
        <v>4717</v>
      </c>
      <c r="AJ133" s="117">
        <v>-980000</v>
      </c>
      <c r="AK133" s="20">
        <v>0</v>
      </c>
      <c r="AL133" s="99">
        <f t="shared" si="26"/>
        <v>1</v>
      </c>
      <c r="AM133" s="117">
        <f t="shared" si="25"/>
        <v>-980000</v>
      </c>
      <c r="AN133" s="20"/>
    </row>
    <row r="134" spans="11:43">
      <c r="Q134" s="96"/>
      <c r="R134" s="96"/>
      <c r="S134" s="96"/>
      <c r="T134" s="96" t="s">
        <v>25</v>
      </c>
      <c r="V134" s="96"/>
      <c r="AH134" s="89">
        <v>114</v>
      </c>
      <c r="AI134" s="90" t="s">
        <v>4717</v>
      </c>
      <c r="AJ134" s="90">
        <v>13301790</v>
      </c>
      <c r="AK134" s="89">
        <v>0</v>
      </c>
      <c r="AL134" s="89">
        <f t="shared" si="26"/>
        <v>1</v>
      </c>
      <c r="AM134" s="90">
        <f t="shared" si="25"/>
        <v>13301790</v>
      </c>
      <c r="AN134" s="89" t="s">
        <v>4718</v>
      </c>
    </row>
    <row r="135" spans="11:43">
      <c r="Q135" s="96"/>
      <c r="R135" s="96"/>
      <c r="S135" s="96"/>
      <c r="T135" s="96"/>
      <c r="V135" s="96"/>
      <c r="AH135" s="20">
        <v>115</v>
      </c>
      <c r="AI135" s="117" t="s">
        <v>4717</v>
      </c>
      <c r="AJ135" s="117">
        <v>404000</v>
      </c>
      <c r="AK135" s="20">
        <v>1</v>
      </c>
      <c r="AL135" s="99">
        <f t="shared" si="26"/>
        <v>1</v>
      </c>
      <c r="AM135" s="117">
        <f t="shared" si="25"/>
        <v>404000</v>
      </c>
      <c r="AN135" s="20" t="s">
        <v>4737</v>
      </c>
      <c r="AQ135" t="s">
        <v>25</v>
      </c>
    </row>
    <row r="136" spans="11:43">
      <c r="Q136" s="96"/>
      <c r="R136" s="96"/>
      <c r="S136" s="96"/>
      <c r="T136" s="99" t="s">
        <v>180</v>
      </c>
      <c r="U136" s="99" t="s">
        <v>4493</v>
      </c>
      <c r="V136" s="99" t="s">
        <v>4494</v>
      </c>
      <c r="W136" s="99" t="s">
        <v>4504</v>
      </c>
      <c r="X136" s="99" t="s">
        <v>8</v>
      </c>
      <c r="Y136" t="s">
        <v>25</v>
      </c>
      <c r="AH136" s="99"/>
      <c r="AI136" s="113"/>
      <c r="AJ136" s="113"/>
      <c r="AK136" s="99"/>
      <c r="AL136" s="99">
        <f t="shared" si="26"/>
        <v>0</v>
      </c>
      <c r="AM136" s="117">
        <f t="shared" si="25"/>
        <v>0</v>
      </c>
      <c r="AN136" s="99"/>
    </row>
    <row r="137" spans="11:43">
      <c r="Q137" s="36" t="s">
        <v>4590</v>
      </c>
      <c r="R137" s="95">
        <f>SUM(N42:N55)</f>
        <v>444714728.70000005</v>
      </c>
      <c r="T137" s="113" t="s">
        <v>4469</v>
      </c>
      <c r="U137" s="56">
        <v>1000000</v>
      </c>
      <c r="V137" s="113">
        <v>239.024</v>
      </c>
      <c r="W137" s="113">
        <f t="shared" ref="W137:W160" si="27">U137*V137</f>
        <v>239024000</v>
      </c>
      <c r="X137" s="99"/>
      <c r="Y137" t="s">
        <v>25</v>
      </c>
      <c r="Z137" t="s">
        <v>25</v>
      </c>
      <c r="AH137" s="99"/>
      <c r="AI137" s="113"/>
      <c r="AJ137" s="113"/>
      <c r="AK137" s="99"/>
      <c r="AL137" s="99">
        <f t="shared" si="26"/>
        <v>0</v>
      </c>
      <c r="AM137" s="117">
        <f t="shared" si="25"/>
        <v>0</v>
      </c>
      <c r="AN137" s="99"/>
    </row>
    <row r="138" spans="11:43">
      <c r="Q138" s="99" t="s">
        <v>4460</v>
      </c>
      <c r="R138" s="95">
        <f>SUM(N21:N24)</f>
        <v>25324602.600000001</v>
      </c>
      <c r="T138" s="169" t="s">
        <v>4451</v>
      </c>
      <c r="U138" s="56">
        <v>5904</v>
      </c>
      <c r="V138" s="113">
        <v>237.148</v>
      </c>
      <c r="W138" s="113">
        <f t="shared" si="27"/>
        <v>1400121.7919999999</v>
      </c>
      <c r="X138" s="99" t="s">
        <v>751</v>
      </c>
      <c r="AH138" s="99"/>
      <c r="AI138" s="113"/>
      <c r="AJ138" s="113"/>
      <c r="AK138" s="99"/>
      <c r="AL138" s="99">
        <f t="shared" si="26"/>
        <v>0</v>
      </c>
      <c r="AM138" s="117">
        <f t="shared" si="25"/>
        <v>0</v>
      </c>
      <c r="AN138" s="99"/>
    </row>
    <row r="139" spans="11:43">
      <c r="Q139" s="99" t="s">
        <v>4461</v>
      </c>
      <c r="R139" s="95">
        <f>SUM(N27:N29)</f>
        <v>3536829.5</v>
      </c>
      <c r="T139" s="169" t="s">
        <v>4233</v>
      </c>
      <c r="U139" s="169">
        <v>1000</v>
      </c>
      <c r="V139" s="113">
        <v>247.393</v>
      </c>
      <c r="W139" s="113">
        <f t="shared" si="27"/>
        <v>247393</v>
      </c>
      <c r="X139" s="99" t="s">
        <v>751</v>
      </c>
      <c r="AH139" s="99"/>
      <c r="AI139" s="113"/>
      <c r="AJ139" s="113"/>
      <c r="AK139" s="99"/>
      <c r="AL139" s="99">
        <f t="shared" si="20"/>
        <v>0</v>
      </c>
      <c r="AM139" s="117">
        <f t="shared" si="9"/>
        <v>0</v>
      </c>
      <c r="AN139" s="99"/>
    </row>
    <row r="140" spans="11:43">
      <c r="Q140" s="99" t="s">
        <v>4462</v>
      </c>
      <c r="R140" s="95">
        <f>N40</f>
        <v>800</v>
      </c>
      <c r="T140" s="169" t="s">
        <v>4506</v>
      </c>
      <c r="U140" s="169">
        <v>8071</v>
      </c>
      <c r="V140" s="113">
        <v>247.797</v>
      </c>
      <c r="W140" s="113">
        <f t="shared" si="27"/>
        <v>1999969.5870000001</v>
      </c>
      <c r="X140" s="99" t="s">
        <v>4458</v>
      </c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9" t="s">
        <v>4463</v>
      </c>
      <c r="R141" s="95">
        <f>N20</f>
        <v>363</v>
      </c>
      <c r="T141" s="169" t="s">
        <v>4506</v>
      </c>
      <c r="U141" s="169">
        <v>53672</v>
      </c>
      <c r="V141" s="113">
        <v>247.797</v>
      </c>
      <c r="W141" s="113">
        <f t="shared" si="27"/>
        <v>13299760.584000001</v>
      </c>
      <c r="X141" s="99" t="s">
        <v>452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4464</v>
      </c>
      <c r="R142" s="95">
        <f>N26</f>
        <v>3128</v>
      </c>
      <c r="T142" s="169" t="s">
        <v>4516</v>
      </c>
      <c r="U142" s="169">
        <v>4099</v>
      </c>
      <c r="V142" s="113">
        <v>243.93</v>
      </c>
      <c r="W142" s="113">
        <f t="shared" si="27"/>
        <v>999869.07000000007</v>
      </c>
      <c r="X142" s="99" t="s">
        <v>4458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4476</v>
      </c>
      <c r="R143" s="95">
        <v>1465221</v>
      </c>
      <c r="T143" s="169" t="s">
        <v>4516</v>
      </c>
      <c r="U143" s="169">
        <v>9301</v>
      </c>
      <c r="V143" s="113">
        <v>243.93</v>
      </c>
      <c r="W143" s="113">
        <f t="shared" si="27"/>
        <v>2268792.9300000002</v>
      </c>
      <c r="X143" s="99" t="s">
        <v>452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P144" s="114"/>
      <c r="Q144" s="99" t="s">
        <v>4725</v>
      </c>
      <c r="R144" s="95">
        <v>410000</v>
      </c>
      <c r="T144" s="169" t="s">
        <v>4524</v>
      </c>
      <c r="U144" s="169">
        <v>8334</v>
      </c>
      <c r="V144" s="113">
        <v>239.97</v>
      </c>
      <c r="W144" s="113">
        <f t="shared" si="27"/>
        <v>1999909.98</v>
      </c>
      <c r="X144" s="99" t="s">
        <v>4458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4764</v>
      </c>
      <c r="R145" s="95">
        <v>-5534</v>
      </c>
      <c r="T145" s="169" t="s">
        <v>4232</v>
      </c>
      <c r="U145" s="169">
        <v>29041</v>
      </c>
      <c r="V145" s="113">
        <v>233.45</v>
      </c>
      <c r="W145" s="113">
        <f t="shared" si="27"/>
        <v>6779621.4499999993</v>
      </c>
      <c r="X145" s="99" t="s">
        <v>751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P146" s="114"/>
      <c r="Q146" s="99" t="s">
        <v>4468</v>
      </c>
      <c r="R146" s="95">
        <f>SUM(R137:R145)</f>
        <v>475450138.80000007</v>
      </c>
      <c r="S146" s="115"/>
      <c r="T146" s="169" t="s">
        <v>994</v>
      </c>
      <c r="U146" s="169">
        <v>12337</v>
      </c>
      <c r="V146" s="113">
        <v>243.16300000000001</v>
      </c>
      <c r="W146" s="113">
        <f t="shared" si="27"/>
        <v>2999901.9310000003</v>
      </c>
      <c r="X146" s="99" t="s">
        <v>4458</v>
      </c>
      <c r="AI146" t="s">
        <v>4065</v>
      </c>
      <c r="AJ146" s="114">
        <f>SUM(N40:N55)</f>
        <v>444715528.70000005</v>
      </c>
      <c r="AR146" t="s">
        <v>25</v>
      </c>
    </row>
    <row r="147" spans="16:44">
      <c r="Q147" s="96"/>
      <c r="S147" s="122"/>
      <c r="T147" s="169" t="s">
        <v>4617</v>
      </c>
      <c r="U147" s="169">
        <v>-16118</v>
      </c>
      <c r="V147" s="113">
        <v>248.17</v>
      </c>
      <c r="W147" s="113">
        <f t="shared" si="27"/>
        <v>-4000004.0599999996</v>
      </c>
      <c r="X147" s="99" t="s">
        <v>751</v>
      </c>
      <c r="AI147" t="s">
        <v>4137</v>
      </c>
      <c r="AJ147" s="114">
        <f>AJ146-AJ140</f>
        <v>-647883.29999995232</v>
      </c>
      <c r="AM147" t="s">
        <v>25</v>
      </c>
    </row>
    <row r="148" spans="16:44">
      <c r="Q148" s="96"/>
      <c r="R148" s="184"/>
      <c r="S148" s="115"/>
      <c r="T148" s="169" t="s">
        <v>4648</v>
      </c>
      <c r="U148" s="169">
        <v>101681</v>
      </c>
      <c r="V148" s="113">
        <v>246.5711</v>
      </c>
      <c r="W148" s="113">
        <f t="shared" si="27"/>
        <v>25071596.019099999</v>
      </c>
      <c r="X148" s="99" t="s">
        <v>452</v>
      </c>
      <c r="AI148" t="s">
        <v>943</v>
      </c>
      <c r="AJ148" s="114">
        <f>AN140</f>
        <v>23835425.218064517</v>
      </c>
    </row>
    <row r="149" spans="16:44">
      <c r="Q149" s="96"/>
      <c r="R149" s="184"/>
      <c r="S149" s="115"/>
      <c r="T149" s="169" t="s">
        <v>4654</v>
      </c>
      <c r="U149" s="169">
        <v>66606</v>
      </c>
      <c r="V149" s="113">
        <v>251.131</v>
      </c>
      <c r="W149" s="113">
        <f t="shared" si="27"/>
        <v>16726831.386</v>
      </c>
      <c r="X149" s="99" t="s">
        <v>751</v>
      </c>
      <c r="AI149" t="s">
        <v>4066</v>
      </c>
      <c r="AJ149" s="114">
        <f>AJ146-AJ145</f>
        <v>-24483308.518064499</v>
      </c>
    </row>
    <row r="150" spans="16:44">
      <c r="Q150" s="96"/>
      <c r="R150" s="115"/>
      <c r="T150" s="169" t="s">
        <v>4664</v>
      </c>
      <c r="U150" s="169">
        <v>172025</v>
      </c>
      <c r="V150" s="113">
        <v>245.52809999999999</v>
      </c>
      <c r="W150" s="113">
        <f t="shared" si="27"/>
        <v>42236971.402499996</v>
      </c>
      <c r="X150" s="99" t="s">
        <v>452</v>
      </c>
      <c r="AM150" t="s">
        <v>25</v>
      </c>
    </row>
    <row r="151" spans="16:44">
      <c r="T151" s="169" t="s">
        <v>4664</v>
      </c>
      <c r="U151" s="169">
        <v>189227</v>
      </c>
      <c r="V151" s="113">
        <v>245.52809999999999</v>
      </c>
      <c r="W151" s="113">
        <f t="shared" si="27"/>
        <v>46460545.778700002</v>
      </c>
      <c r="X151" s="99" t="s">
        <v>751</v>
      </c>
      <c r="AJ151" t="s">
        <v>25</v>
      </c>
    </row>
    <row r="152" spans="16:44">
      <c r="Q152" s="99" t="s">
        <v>4458</v>
      </c>
      <c r="R152" s="99"/>
      <c r="T152" s="169" t="s">
        <v>4667</v>
      </c>
      <c r="U152" s="169">
        <v>79720</v>
      </c>
      <c r="V152" s="113">
        <v>246.6568</v>
      </c>
      <c r="W152" s="113">
        <f t="shared" si="27"/>
        <v>19663480.096000001</v>
      </c>
      <c r="X152" s="99" t="s">
        <v>452</v>
      </c>
    </row>
    <row r="153" spans="16:44">
      <c r="Q153" s="36" t="s">
        <v>180</v>
      </c>
      <c r="R153" s="99" t="s">
        <v>267</v>
      </c>
      <c r="T153" s="169" t="s">
        <v>4667</v>
      </c>
      <c r="U153" s="169">
        <v>79720</v>
      </c>
      <c r="V153" s="113">
        <v>246.6568</v>
      </c>
      <c r="W153" s="113">
        <f t="shared" si="27"/>
        <v>19663480.096000001</v>
      </c>
      <c r="X153" s="99" t="s">
        <v>751</v>
      </c>
    </row>
    <row r="154" spans="16:44">
      <c r="Q154" s="99" t="s">
        <v>4451</v>
      </c>
      <c r="R154" s="95">
        <v>3000000</v>
      </c>
      <c r="T154" s="169" t="s">
        <v>4697</v>
      </c>
      <c r="U154" s="169">
        <v>17769</v>
      </c>
      <c r="V154" s="113">
        <v>246.17877999999999</v>
      </c>
      <c r="W154" s="113">
        <f t="shared" si="27"/>
        <v>4374350.7418200001</v>
      </c>
      <c r="X154" s="99" t="s">
        <v>751</v>
      </c>
    </row>
    <row r="155" spans="16:44">
      <c r="Q155" s="99" t="s">
        <v>4506</v>
      </c>
      <c r="R155" s="95">
        <v>2000000</v>
      </c>
      <c r="T155" s="169" t="s">
        <v>4697</v>
      </c>
      <c r="U155" s="169">
        <v>17769</v>
      </c>
      <c r="V155" s="113">
        <v>246.17877999999999</v>
      </c>
      <c r="W155" s="113">
        <f t="shared" si="27"/>
        <v>4374350.7418200001</v>
      </c>
      <c r="X155" s="99" t="s">
        <v>452</v>
      </c>
    </row>
    <row r="156" spans="16:44">
      <c r="Q156" s="99" t="s">
        <v>4516</v>
      </c>
      <c r="R156" s="95">
        <v>1000000</v>
      </c>
      <c r="T156" s="169" t="s">
        <v>4703</v>
      </c>
      <c r="U156" s="169">
        <v>12438</v>
      </c>
      <c r="V156" s="113">
        <v>241.20465999999999</v>
      </c>
      <c r="W156" s="113">
        <f t="shared" si="27"/>
        <v>3000103.5610799999</v>
      </c>
      <c r="X156" s="99" t="s">
        <v>4458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4524</v>
      </c>
      <c r="R157" s="95">
        <v>2000000</v>
      </c>
      <c r="T157" s="169" t="s">
        <v>4713</v>
      </c>
      <c r="U157" s="169">
        <v>27363</v>
      </c>
      <c r="V157" s="113">
        <v>239.3886</v>
      </c>
      <c r="W157" s="113">
        <f t="shared" si="27"/>
        <v>6550390.2617999995</v>
      </c>
      <c r="X157" s="99" t="s">
        <v>751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994</v>
      </c>
      <c r="R158" s="95">
        <v>3000000</v>
      </c>
      <c r="T158" s="169" t="s">
        <v>4713</v>
      </c>
      <c r="U158" s="169">
        <v>27363</v>
      </c>
      <c r="V158" s="113">
        <v>239.3886</v>
      </c>
      <c r="W158" s="113">
        <f t="shared" si="27"/>
        <v>6550390.2617999995</v>
      </c>
      <c r="X158" s="99" t="s">
        <v>452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28">AK158+AL159</f>
        <v>185</v>
      </c>
      <c r="AM158" s="99">
        <f t="shared" ref="AM158:AM187" si="29">AJ158*AL158</f>
        <v>318354845</v>
      </c>
      <c r="AN158" s="99" t="s">
        <v>4318</v>
      </c>
    </row>
    <row r="159" spans="16:44">
      <c r="Q159" s="99" t="s">
        <v>4703</v>
      </c>
      <c r="R159" s="95">
        <v>3000000</v>
      </c>
      <c r="T159" s="217" t="s">
        <v>4717</v>
      </c>
      <c r="U159" s="217">
        <v>27437</v>
      </c>
      <c r="V159" s="113">
        <v>242.4015</v>
      </c>
      <c r="W159" s="113">
        <f t="shared" si="27"/>
        <v>6650769.9555000002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28"/>
        <v>134</v>
      </c>
      <c r="AM159" s="99">
        <f t="shared" si="29"/>
        <v>20100000</v>
      </c>
      <c r="AN159" s="99"/>
    </row>
    <row r="160" spans="16:44">
      <c r="Q160" s="99"/>
      <c r="R160" s="95"/>
      <c r="T160" s="217" t="s">
        <v>4717</v>
      </c>
      <c r="U160" s="217">
        <v>29104</v>
      </c>
      <c r="V160" s="113">
        <v>242.4015</v>
      </c>
      <c r="W160" s="113">
        <f t="shared" si="27"/>
        <v>7054853.2560000001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28"/>
        <v>131</v>
      </c>
      <c r="AM160" s="99">
        <f t="shared" si="29"/>
        <v>-12445000</v>
      </c>
      <c r="AN160" s="99"/>
    </row>
    <row r="161" spans="17:40">
      <c r="Q161" s="99"/>
      <c r="R161" s="95"/>
      <c r="T161" s="169"/>
      <c r="U161" s="169"/>
      <c r="V161" s="113"/>
      <c r="W161" s="113"/>
      <c r="X161" s="99"/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28"/>
        <v>123</v>
      </c>
      <c r="AM161" s="99">
        <f t="shared" si="29"/>
        <v>387450000</v>
      </c>
      <c r="AN161" s="99"/>
    </row>
    <row r="162" spans="17:40">
      <c r="Q162" s="99"/>
      <c r="R162" s="95">
        <f>SUM(R154:R159)</f>
        <v>14000000</v>
      </c>
      <c r="T162" s="169"/>
      <c r="U162" s="169"/>
      <c r="V162" s="113"/>
      <c r="W162" s="113"/>
      <c r="X162" s="99"/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28"/>
        <v>107</v>
      </c>
      <c r="AM162" s="99">
        <f t="shared" si="29"/>
        <v>-6955000</v>
      </c>
      <c r="AN162" s="99"/>
    </row>
    <row r="163" spans="17:40">
      <c r="Q163" s="99"/>
      <c r="R163" s="99" t="s">
        <v>6</v>
      </c>
      <c r="T163" s="169"/>
      <c r="U163" s="169">
        <f>SUM(U137:U162)</f>
        <v>1963863</v>
      </c>
      <c r="V163" s="99"/>
      <c r="W163" s="99"/>
      <c r="X163" s="99"/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28"/>
        <v>106</v>
      </c>
      <c r="AM163" s="99">
        <f t="shared" si="29"/>
        <v>-10070000</v>
      </c>
      <c r="AN163" s="99"/>
    </row>
    <row r="164" spans="17:40">
      <c r="S164" t="s">
        <v>25</v>
      </c>
      <c r="T164" s="99"/>
      <c r="U164" s="99" t="s">
        <v>6</v>
      </c>
      <c r="V164" s="99"/>
      <c r="W164" s="99"/>
      <c r="X164" s="99"/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28"/>
        <v>100</v>
      </c>
      <c r="AM164" s="99">
        <f t="shared" si="29"/>
        <v>23200000</v>
      </c>
      <c r="AN164" s="99"/>
    </row>
    <row r="165" spans="17:40">
      <c r="Q165" s="96"/>
      <c r="R165" s="96"/>
      <c r="T165" s="204" t="s">
        <v>4495</v>
      </c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28"/>
        <v>93</v>
      </c>
      <c r="AM165" s="99">
        <f t="shared" si="29"/>
        <v>1209000000</v>
      </c>
      <c r="AN165" s="99"/>
    </row>
    <row r="166" spans="17:40">
      <c r="Q166" s="96"/>
      <c r="R166" s="96"/>
      <c r="T166" s="203">
        <f>R146/U163</f>
        <v>242.09944318926529</v>
      </c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28"/>
        <v>91</v>
      </c>
      <c r="AM166" s="99">
        <f t="shared" si="29"/>
        <v>910000000</v>
      </c>
      <c r="AN166" s="99"/>
    </row>
    <row r="167" spans="17:40">
      <c r="W167" s="114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28"/>
        <v>88</v>
      </c>
      <c r="AM167" s="99">
        <f t="shared" si="29"/>
        <v>299200000</v>
      </c>
      <c r="AN167" s="99"/>
    </row>
    <row r="168" spans="17:40">
      <c r="Q168" s="99" t="s">
        <v>751</v>
      </c>
      <c r="R168" s="99"/>
      <c r="U168" s="96" t="s">
        <v>267</v>
      </c>
      <c r="V168" t="s">
        <v>4496</v>
      </c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29"/>
        <v>-690184606</v>
      </c>
      <c r="AN168" s="99"/>
    </row>
    <row r="169" spans="17:40">
      <c r="Q169" s="99" t="s">
        <v>4451</v>
      </c>
      <c r="R169" s="95">
        <v>172908000</v>
      </c>
      <c r="T169" s="114"/>
      <c r="U169" s="113">
        <v>7054895</v>
      </c>
      <c r="V169">
        <f>U169/T166</f>
        <v>29140.484203777032</v>
      </c>
      <c r="X169" t="s">
        <v>25</v>
      </c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0">AK169+AL170</f>
        <v>78</v>
      </c>
      <c r="AM169" s="99">
        <f t="shared" si="29"/>
        <v>43290000</v>
      </c>
      <c r="AN169" s="99"/>
    </row>
    <row r="170" spans="17:40">
      <c r="Q170" s="99" t="s">
        <v>4492</v>
      </c>
      <c r="R170" s="95">
        <v>1400000</v>
      </c>
      <c r="X170" t="s">
        <v>25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0"/>
        <v>73</v>
      </c>
      <c r="AM170" s="99">
        <f t="shared" si="29"/>
        <v>-32726484</v>
      </c>
      <c r="AN170" s="99"/>
    </row>
    <row r="171" spans="17:40">
      <c r="Q171" s="99" t="s">
        <v>4233</v>
      </c>
      <c r="R171" s="95">
        <v>247393</v>
      </c>
      <c r="X171" t="s">
        <v>25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0"/>
        <v>67</v>
      </c>
      <c r="AM171" s="99">
        <f t="shared" si="29"/>
        <v>2226075</v>
      </c>
      <c r="AN171" s="99"/>
    </row>
    <row r="172" spans="17:40">
      <c r="Q172" s="99" t="s">
        <v>4232</v>
      </c>
      <c r="R172" s="95">
        <v>6780000</v>
      </c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0"/>
        <v>67</v>
      </c>
      <c r="AM172" s="149">
        <f t="shared" si="29"/>
        <v>274601041</v>
      </c>
      <c r="AN172" s="149" t="s">
        <v>657</v>
      </c>
    </row>
    <row r="173" spans="17:40">
      <c r="Q173" s="99" t="s">
        <v>4617</v>
      </c>
      <c r="R173" s="95">
        <v>-4000000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0"/>
        <v>65</v>
      </c>
      <c r="AM173" s="149">
        <f t="shared" si="29"/>
        <v>-65000000</v>
      </c>
      <c r="AN173" s="149" t="s">
        <v>657</v>
      </c>
    </row>
    <row r="174" spans="17:40" ht="60">
      <c r="Q174" s="99" t="s">
        <v>4654</v>
      </c>
      <c r="R174" s="95">
        <v>16727037</v>
      </c>
      <c r="T174" s="22" t="s">
        <v>4479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0"/>
        <v>58</v>
      </c>
      <c r="AM174" s="149">
        <f t="shared" si="29"/>
        <v>43500000</v>
      </c>
      <c r="AN174" s="149" t="s">
        <v>657</v>
      </c>
    </row>
    <row r="175" spans="17:40" ht="45">
      <c r="Q175" s="99" t="s">
        <v>4664</v>
      </c>
      <c r="R175" s="95">
        <v>46460683</v>
      </c>
      <c r="T175" s="22" t="s">
        <v>4480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0"/>
        <v>57</v>
      </c>
      <c r="AM175" s="199">
        <f t="shared" si="29"/>
        <v>-34436664</v>
      </c>
      <c r="AN175" s="199" t="s">
        <v>657</v>
      </c>
    </row>
    <row r="176" spans="17:40">
      <c r="Q176" s="99" t="s">
        <v>4667</v>
      </c>
      <c r="R176" s="95">
        <v>19663646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0"/>
        <v>57</v>
      </c>
      <c r="AM176" s="99">
        <f t="shared" si="29"/>
        <v>-33463731</v>
      </c>
      <c r="AN176" s="99"/>
    </row>
    <row r="177" spans="17:44">
      <c r="Q177" s="99" t="s">
        <v>4697</v>
      </c>
      <c r="R177" s="95">
        <v>4374525</v>
      </c>
      <c r="S177" t="s">
        <v>25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0"/>
        <v>53</v>
      </c>
      <c r="AM177" s="199">
        <f t="shared" si="29"/>
        <v>-39980603</v>
      </c>
      <c r="AN177" s="199" t="s">
        <v>657</v>
      </c>
    </row>
    <row r="178" spans="17:44">
      <c r="Q178" s="99" t="s">
        <v>4713</v>
      </c>
      <c r="R178" s="95">
        <v>6550580</v>
      </c>
      <c r="T178" s="99" t="s">
        <v>4497</v>
      </c>
      <c r="U178" s="99" t="s">
        <v>4468</v>
      </c>
      <c r="V178" s="99" t="s">
        <v>953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0"/>
        <v>53</v>
      </c>
      <c r="AM178" s="99">
        <f t="shared" si="29"/>
        <v>-10049807</v>
      </c>
      <c r="AN178" s="99"/>
    </row>
    <row r="179" spans="17:44">
      <c r="Q179" s="99" t="s">
        <v>4717</v>
      </c>
      <c r="R179" s="95">
        <v>6650895</v>
      </c>
      <c r="T179" s="95">
        <f>R162+R182+R198</f>
        <v>475399001</v>
      </c>
      <c r="U179" s="95">
        <f>R146</f>
        <v>475450138.80000007</v>
      </c>
      <c r="V179" s="95">
        <f>U179-T179</f>
        <v>51137.800000071526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0"/>
        <v>38</v>
      </c>
      <c r="AM179" s="199">
        <f t="shared" si="29"/>
        <v>269800</v>
      </c>
      <c r="AN179" s="199" t="s">
        <v>657</v>
      </c>
    </row>
    <row r="180" spans="17:44">
      <c r="Q180" s="99"/>
      <c r="R180" s="95"/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0"/>
        <v>38</v>
      </c>
      <c r="AM180" s="20">
        <f t="shared" si="29"/>
        <v>-5620276</v>
      </c>
      <c r="AN180" s="20"/>
      <c r="AR180" t="s">
        <v>25</v>
      </c>
    </row>
    <row r="181" spans="17:44">
      <c r="Q181" s="99"/>
      <c r="R181" s="95"/>
      <c r="S181" t="s">
        <v>25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0"/>
        <v>35</v>
      </c>
      <c r="AM181" s="199">
        <f t="shared" si="29"/>
        <v>-1302000</v>
      </c>
      <c r="AN181" s="149" t="s">
        <v>657</v>
      </c>
    </row>
    <row r="182" spans="17:44">
      <c r="Q182" s="99"/>
      <c r="R182" s="95">
        <f>SUM(R169:R179)</f>
        <v>277762759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0"/>
        <v>31</v>
      </c>
      <c r="AM182" s="20">
        <f t="shared" si="29"/>
        <v>-11542106</v>
      </c>
      <c r="AN182" s="99"/>
    </row>
    <row r="183" spans="17:44">
      <c r="Q183" s="99"/>
      <c r="R183" s="99" t="s">
        <v>6</v>
      </c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0"/>
        <v>10</v>
      </c>
      <c r="AM183" s="20">
        <f t="shared" si="29"/>
        <v>2350620</v>
      </c>
      <c r="AN183" s="99"/>
    </row>
    <row r="184" spans="17:44">
      <c r="AH184" s="149">
        <v>28</v>
      </c>
      <c r="AI184" s="149" t="s">
        <v>4633</v>
      </c>
      <c r="AJ184" s="191">
        <v>235062</v>
      </c>
      <c r="AK184" s="149">
        <v>9</v>
      </c>
      <c r="AL184" s="99">
        <f t="shared" si="30"/>
        <v>10</v>
      </c>
      <c r="AM184" s="149">
        <f t="shared" si="29"/>
        <v>2350620</v>
      </c>
      <c r="AN184" s="149" t="s">
        <v>657</v>
      </c>
    </row>
    <row r="185" spans="17:44">
      <c r="T185" t="s">
        <v>25</v>
      </c>
      <c r="AH185" s="149">
        <v>29</v>
      </c>
      <c r="AI185" s="149" t="s">
        <v>4667</v>
      </c>
      <c r="AJ185" s="191">
        <v>450000</v>
      </c>
      <c r="AK185" s="149">
        <v>0</v>
      </c>
      <c r="AL185" s="99">
        <f t="shared" si="30"/>
        <v>1</v>
      </c>
      <c r="AM185" s="149">
        <f t="shared" si="29"/>
        <v>450000</v>
      </c>
      <c r="AN185" s="149" t="s">
        <v>657</v>
      </c>
    </row>
    <row r="186" spans="17:44">
      <c r="Q186" s="99" t="s">
        <v>452</v>
      </c>
      <c r="R186" s="99"/>
      <c r="AH186" s="20">
        <v>30</v>
      </c>
      <c r="AI186" s="20" t="s">
        <v>4667</v>
      </c>
      <c r="AJ186" s="117">
        <v>450000</v>
      </c>
      <c r="AK186" s="20">
        <v>1</v>
      </c>
      <c r="AL186" s="99">
        <f t="shared" si="30"/>
        <v>1</v>
      </c>
      <c r="AM186" s="20">
        <f t="shared" si="29"/>
        <v>450000</v>
      </c>
      <c r="AN186" s="20"/>
    </row>
    <row r="187" spans="17:44">
      <c r="Q187" s="99" t="s">
        <v>4451</v>
      </c>
      <c r="R187" s="95">
        <v>63115000</v>
      </c>
      <c r="T187" t="s">
        <v>25</v>
      </c>
      <c r="AH187" s="99"/>
      <c r="AI187" s="99"/>
      <c r="AJ187" s="117"/>
      <c r="AK187" s="99"/>
      <c r="AL187" s="99">
        <f t="shared" si="30"/>
        <v>0</v>
      </c>
      <c r="AM187" s="20">
        <f t="shared" si="29"/>
        <v>0</v>
      </c>
      <c r="AN187" s="99"/>
    </row>
    <row r="188" spans="17:44">
      <c r="Q188" s="99" t="s">
        <v>4506</v>
      </c>
      <c r="R188" s="95">
        <v>13300000</v>
      </c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4516</v>
      </c>
      <c r="R189" s="95">
        <v>2269000</v>
      </c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4648</v>
      </c>
      <c r="R190" s="95">
        <v>25071612</v>
      </c>
      <c r="AJ190" t="s">
        <v>4060</v>
      </c>
      <c r="AM190" t="s">
        <v>284</v>
      </c>
      <c r="AN190" t="s">
        <v>943</v>
      </c>
    </row>
    <row r="191" spans="17:44">
      <c r="Q191" s="99" t="s">
        <v>4664</v>
      </c>
      <c r="R191" s="95">
        <v>42236984</v>
      </c>
      <c r="T191" t="s">
        <v>25</v>
      </c>
    </row>
    <row r="192" spans="17:44">
      <c r="Q192" s="99" t="s">
        <v>4667</v>
      </c>
      <c r="R192" s="95">
        <v>19663646</v>
      </c>
      <c r="AI192" t="s">
        <v>4062</v>
      </c>
      <c r="AJ192" s="114">
        <f>AJ189+AN189</f>
        <v>30985628.879999999</v>
      </c>
    </row>
    <row r="193" spans="17:40">
      <c r="Q193" s="99" t="s">
        <v>4697</v>
      </c>
      <c r="R193" s="95">
        <v>4374525</v>
      </c>
      <c r="AI193" t="s">
        <v>4065</v>
      </c>
      <c r="AJ193" s="114">
        <f>SUM(N20:N29)</f>
        <v>28864923.100000001</v>
      </c>
    </row>
    <row r="194" spans="17:40">
      <c r="Q194" s="99" t="s">
        <v>4713</v>
      </c>
      <c r="R194" s="95">
        <v>6550580</v>
      </c>
      <c r="AI194" t="s">
        <v>4137</v>
      </c>
      <c r="AJ194" s="114">
        <f>AJ193-AJ189</f>
        <v>-25250.89999999851</v>
      </c>
    </row>
    <row r="195" spans="17:40">
      <c r="Q195" s="99" t="s">
        <v>4717</v>
      </c>
      <c r="R195" s="95">
        <v>7054895</v>
      </c>
      <c r="T195" t="s">
        <v>25</v>
      </c>
      <c r="AI195" t="s">
        <v>943</v>
      </c>
      <c r="AJ195" s="114">
        <f>AN189</f>
        <v>2095454.8800000001</v>
      </c>
    </row>
    <row r="196" spans="17:40">
      <c r="Q196" s="99"/>
      <c r="R196" s="95"/>
      <c r="AI196" t="s">
        <v>4066</v>
      </c>
      <c r="AJ196" s="114">
        <f>AJ194-AJ195</f>
        <v>-2120705.7799999984</v>
      </c>
      <c r="AN196" t="s">
        <v>25</v>
      </c>
    </row>
    <row r="197" spans="17:40">
      <c r="Q197" s="99"/>
      <c r="R197" s="95"/>
      <c r="AN197" t="s">
        <v>25</v>
      </c>
    </row>
    <row r="198" spans="17:40">
      <c r="Q198" s="99"/>
      <c r="R198" s="95">
        <f>SUM(R187:R195)</f>
        <v>183636242</v>
      </c>
    </row>
    <row r="199" spans="17:40">
      <c r="Q199" s="99"/>
      <c r="R199" s="99" t="s">
        <v>6</v>
      </c>
      <c r="T19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4 S78 S84 S88:S90 S93 S99:S100 S107 S9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abSelected="1" topLeftCell="K1" workbookViewId="0">
      <selection activeCell="Z12" sqref="Z1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4675</v>
      </c>
      <c r="AE1" s="169" t="s">
        <v>4676</v>
      </c>
    </row>
    <row r="2" spans="1:31">
      <c r="A2" s="99" t="s">
        <v>4244</v>
      </c>
      <c r="B2" s="207">
        <v>1707</v>
      </c>
      <c r="C2" s="209" t="s">
        <v>4636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8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4614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4615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4643</v>
      </c>
      <c r="L5" s="113">
        <v>0</v>
      </c>
      <c r="M5" s="169">
        <v>3</v>
      </c>
      <c r="N5" s="113">
        <f t="shared" ref="N5" si="3">L5*M5</f>
        <v>0</v>
      </c>
      <c r="O5" s="99" t="s">
        <v>4647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4648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4654</v>
      </c>
      <c r="X6" s="169" t="s">
        <v>1086</v>
      </c>
      <c r="Y6" s="113">
        <v>4183832</v>
      </c>
      <c r="Z6" s="169">
        <f>AB6*AC6/Y6</f>
        <v>2.132843288162622</v>
      </c>
      <c r="AA6" s="194" t="s">
        <v>4397</v>
      </c>
      <c r="AB6" s="113">
        <v>3405.9</v>
      </c>
      <c r="AC6" s="169">
        <v>2620</v>
      </c>
      <c r="AD6" s="194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4654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4654</v>
      </c>
      <c r="X7" s="169" t="s">
        <v>1086</v>
      </c>
      <c r="Y7" s="113">
        <v>4183832</v>
      </c>
      <c r="Z7" s="169">
        <f t="shared" ref="Z7:Z20" si="4">AB7*AC7/Y7</f>
        <v>0.23816682887840621</v>
      </c>
      <c r="AA7" s="169" t="s">
        <v>4657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4664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4654</v>
      </c>
      <c r="X8" s="169" t="s">
        <v>1086</v>
      </c>
      <c r="Y8" s="113">
        <v>4183832</v>
      </c>
      <c r="Z8" s="169">
        <f t="shared" si="4"/>
        <v>0.24118578375039915</v>
      </c>
      <c r="AA8" s="169" t="s">
        <v>4658</v>
      </c>
      <c r="AB8" s="113">
        <v>217.1</v>
      </c>
      <c r="AC8" s="169">
        <v>4648</v>
      </c>
      <c r="AD8" s="169">
        <f t="shared" si="0"/>
        <v>19271.450944265314</v>
      </c>
      <c r="AE8" s="169">
        <f t="shared" si="2"/>
        <v>5.1890228861961954E-5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4664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4654</v>
      </c>
      <c r="X9" s="169" t="s">
        <v>1086</v>
      </c>
      <c r="Y9" s="113">
        <v>4183832</v>
      </c>
      <c r="Z9" s="169">
        <f t="shared" si="4"/>
        <v>3.2966189847011065</v>
      </c>
      <c r="AA9" s="216" t="s">
        <v>4551</v>
      </c>
      <c r="AB9" s="113">
        <v>4500</v>
      </c>
      <c r="AC9" s="169">
        <v>3065</v>
      </c>
      <c r="AD9" s="216">
        <f t="shared" ref="AD9:AD16" si="5">Y9/AB9</f>
        <v>929.74044444444439</v>
      </c>
      <c r="AE9" s="169">
        <f t="shared" si="2"/>
        <v>1.0755689999024818E-3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4667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4664</v>
      </c>
      <c r="X10" s="169" t="s">
        <v>1086</v>
      </c>
      <c r="Y10" s="113">
        <v>4186993</v>
      </c>
      <c r="Z10" s="169">
        <f t="shared" si="4"/>
        <v>0.95852522323299805</v>
      </c>
      <c r="AA10" s="194" t="s">
        <v>4397</v>
      </c>
      <c r="AB10" s="113">
        <v>3322.3</v>
      </c>
      <c r="AC10" s="169">
        <v>1208</v>
      </c>
      <c r="AD10" s="194">
        <f t="shared" si="5"/>
        <v>1260.2693916864821</v>
      </c>
      <c r="AE10" s="169">
        <f t="shared" si="2"/>
        <v>7.934811450604288E-4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4667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4664</v>
      </c>
      <c r="X11" s="169" t="s">
        <v>1086</v>
      </c>
      <c r="Y11" s="113">
        <v>4186993</v>
      </c>
      <c r="Z11" s="169">
        <f t="shared" si="4"/>
        <v>3.0092622557525175</v>
      </c>
      <c r="AA11" s="224" t="s">
        <v>4401</v>
      </c>
      <c r="AB11" s="113">
        <v>5249.9</v>
      </c>
      <c r="AC11" s="169">
        <v>2400</v>
      </c>
      <c r="AD11" s="224">
        <f t="shared" si="5"/>
        <v>797.53766738414072</v>
      </c>
      <c r="AE11" s="169">
        <f t="shared" si="2"/>
        <v>1.2538592732302155E-3</v>
      </c>
    </row>
    <row r="12" spans="1:31">
      <c r="A12" s="99" t="s">
        <v>4571</v>
      </c>
      <c r="B12" s="207">
        <v>197142</v>
      </c>
      <c r="C12" s="170"/>
      <c r="D12" s="59" t="s">
        <v>4768</v>
      </c>
      <c r="F12" s="114">
        <v>0</v>
      </c>
      <c r="G12" t="s">
        <v>25</v>
      </c>
      <c r="J12" s="169">
        <v>11</v>
      </c>
      <c r="K12" s="169" t="s">
        <v>4697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4667</v>
      </c>
      <c r="X12" s="169" t="s">
        <v>1086</v>
      </c>
      <c r="Y12" s="113">
        <v>4223698</v>
      </c>
      <c r="Z12" s="169">
        <f t="shared" si="4"/>
        <v>11.463347995050782</v>
      </c>
      <c r="AA12" s="224" t="s">
        <v>4401</v>
      </c>
      <c r="AB12" s="113">
        <v>5330</v>
      </c>
      <c r="AC12" s="169">
        <v>9084</v>
      </c>
      <c r="AD12" s="224">
        <f t="shared" si="5"/>
        <v>792.43864915572237</v>
      </c>
      <c r="AE12" s="169">
        <f t="shared" si="2"/>
        <v>1.2619273442372064E-3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4697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4667</v>
      </c>
      <c r="X13" s="169" t="s">
        <v>1086</v>
      </c>
      <c r="Y13" s="113">
        <v>4223698</v>
      </c>
      <c r="Z13" s="169">
        <f t="shared" si="4"/>
        <v>9.4380816762940896</v>
      </c>
      <c r="AA13" s="19" t="s">
        <v>4416</v>
      </c>
      <c r="AB13" s="113">
        <v>498.9</v>
      </c>
      <c r="AC13" s="169">
        <v>79903</v>
      </c>
      <c r="AD13" s="19">
        <f t="shared" si="5"/>
        <v>8466.0212467428355</v>
      </c>
      <c r="AE13" s="169">
        <f t="shared" si="2"/>
        <v>1.1811924053282217E-4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4713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4684</v>
      </c>
      <c r="X14" s="169" t="s">
        <v>1086</v>
      </c>
      <c r="Y14" s="113">
        <v>4369699</v>
      </c>
      <c r="Z14" s="169">
        <f t="shared" si="4"/>
        <v>0.22790475957268452</v>
      </c>
      <c r="AA14" s="169" t="s">
        <v>4638</v>
      </c>
      <c r="AB14" s="113">
        <v>724.8</v>
      </c>
      <c r="AC14" s="169">
        <v>1374</v>
      </c>
      <c r="AD14" s="169">
        <f t="shared" si="5"/>
        <v>6028.8341611479036</v>
      </c>
      <c r="AE14" s="169">
        <f t="shared" si="2"/>
        <v>1.6586954845173546E-4</v>
      </c>
    </row>
    <row r="15" spans="1:31">
      <c r="A15" s="99"/>
      <c r="B15" s="207"/>
      <c r="C15" s="170"/>
      <c r="D15" s="99"/>
      <c r="F15" s="114">
        <f>B12+F7+F8+F9+F10+F11+F12+F13+F14</f>
        <v>197142</v>
      </c>
      <c r="J15" s="169">
        <v>14</v>
      </c>
      <c r="K15" s="169" t="s">
        <v>4713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4684</v>
      </c>
      <c r="X15" s="169" t="s">
        <v>1086</v>
      </c>
      <c r="Y15" s="113">
        <v>4369699</v>
      </c>
      <c r="Z15" s="169">
        <f t="shared" si="4"/>
        <v>8.608136716052984</v>
      </c>
      <c r="AA15" s="224" t="s">
        <v>4401</v>
      </c>
      <c r="AB15" s="113">
        <v>5393.6</v>
      </c>
      <c r="AC15" s="169">
        <v>6974</v>
      </c>
      <c r="AD15" s="224">
        <f t="shared" si="5"/>
        <v>810.16371254820524</v>
      </c>
      <c r="AE15" s="169">
        <f t="shared" si="2"/>
        <v>1.2343184278825613E-3</v>
      </c>
    </row>
    <row r="16" spans="1:31">
      <c r="A16" s="99"/>
      <c r="B16" s="207"/>
      <c r="C16" s="170"/>
      <c r="D16" s="99"/>
      <c r="J16" s="217">
        <v>15</v>
      </c>
      <c r="K16" s="217" t="s">
        <v>4717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4703</v>
      </c>
      <c r="X16" s="169" t="s">
        <v>1086</v>
      </c>
      <c r="Y16" s="113">
        <v>4374000</v>
      </c>
      <c r="Z16" s="169">
        <f t="shared" si="4"/>
        <v>2.0343806584362141</v>
      </c>
      <c r="AA16" s="225" t="s">
        <v>4401</v>
      </c>
      <c r="AB16" s="117">
        <v>5179.5</v>
      </c>
      <c r="AC16" s="19">
        <v>1718</v>
      </c>
      <c r="AD16" s="225">
        <f t="shared" si="5"/>
        <v>844.48305821025201</v>
      </c>
      <c r="AE16" s="169">
        <f t="shared" si="2"/>
        <v>1.184156378600823E-3</v>
      </c>
    </row>
    <row r="17" spans="1:31">
      <c r="A17" s="99"/>
      <c r="J17" s="217">
        <v>16</v>
      </c>
      <c r="K17" s="217" t="s">
        <v>4717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4717</v>
      </c>
      <c r="X17" s="169" t="s">
        <v>1086</v>
      </c>
      <c r="Y17" s="113">
        <v>4367053</v>
      </c>
      <c r="Z17" s="169">
        <f t="shared" si="4"/>
        <v>2.1370469055447687</v>
      </c>
      <c r="AA17" s="194" t="s">
        <v>4397</v>
      </c>
      <c r="AB17" s="117">
        <v>3184.1</v>
      </c>
      <c r="AC17" s="19">
        <v>2931</v>
      </c>
      <c r="AD17" s="194">
        <f>Y17/AB17</f>
        <v>1371.5187965202099</v>
      </c>
      <c r="AE17" s="169">
        <f t="shared" si="2"/>
        <v>7.291186985823163E-4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219" t="s">
        <v>4717</v>
      </c>
      <c r="X18" s="219" t="s">
        <v>1086</v>
      </c>
      <c r="Y18" s="113">
        <v>4367053</v>
      </c>
      <c r="Z18" s="219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9">
        <f t="shared" si="2"/>
        <v>1.1634848489358842E-4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4750</v>
      </c>
      <c r="X19" s="169" t="s">
        <v>1086</v>
      </c>
      <c r="Y19" s="113">
        <v>4433930</v>
      </c>
      <c r="Z19" s="169">
        <f t="shared" si="4"/>
        <v>2.9409688470499082</v>
      </c>
      <c r="AA19" s="195" t="s">
        <v>4397</v>
      </c>
      <c r="AB19" s="117">
        <v>3180.5</v>
      </c>
      <c r="AC19" s="19">
        <v>4100</v>
      </c>
      <c r="AD19" s="195">
        <f t="shared" ref="AD19:AD25" si="6">Y19/AB19</f>
        <v>1394.0984121993397</v>
      </c>
      <c r="AE19" s="169">
        <f t="shared" si="2"/>
        <v>7.1730947489022151E-4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170">
        <f>N20/(M20-3)</f>
        <v>4216181.375</v>
      </c>
      <c r="W20" s="169" t="s">
        <v>4750</v>
      </c>
      <c r="X20" s="169" t="s">
        <v>1086</v>
      </c>
      <c r="Y20" s="113">
        <v>4433930</v>
      </c>
      <c r="Z20" s="169">
        <f t="shared" si="4"/>
        <v>0.13984559972755545</v>
      </c>
      <c r="AA20" s="215" t="s">
        <v>4416</v>
      </c>
      <c r="AB20" s="117">
        <v>503.3</v>
      </c>
      <c r="AC20" s="19">
        <v>1232</v>
      </c>
      <c r="AD20" s="215">
        <f t="shared" si="6"/>
        <v>8809.7158752235246</v>
      </c>
      <c r="AE20" s="169">
        <f t="shared" si="2"/>
        <v>1.1351103873989892E-4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4761</v>
      </c>
      <c r="X21" s="169" t="s">
        <v>1086</v>
      </c>
      <c r="Y21" s="113">
        <v>4183832</v>
      </c>
      <c r="Z21" s="221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9">
        <f t="shared" si="2"/>
        <v>1.1979448505580529E-4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221" t="s">
        <v>4769</v>
      </c>
      <c r="X22" s="221" t="s">
        <v>1086</v>
      </c>
      <c r="Y22" s="113">
        <v>4183832</v>
      </c>
      <c r="Z22" s="221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21">
        <f t="shared" si="2"/>
        <v>1.1513368605622787E-4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221"/>
      <c r="X23" s="221"/>
      <c r="Y23" s="113"/>
      <c r="Z23" s="221"/>
      <c r="AA23" s="19"/>
      <c r="AB23" s="117"/>
      <c r="AC23" s="19"/>
      <c r="AD23" s="19"/>
      <c r="AE23" s="221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4735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4690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4691</v>
      </c>
      <c r="AA40" s="214">
        <v>35441</v>
      </c>
      <c r="AB40" s="96"/>
      <c r="AC40" s="96"/>
      <c r="AD40" s="96"/>
    </row>
    <row r="41" spans="1:30" ht="120">
      <c r="W41" s="96"/>
      <c r="X41" s="22" t="s">
        <v>4694</v>
      </c>
      <c r="Y41" s="22" t="s">
        <v>4693</v>
      </c>
      <c r="Z41" s="22" t="s">
        <v>4692</v>
      </c>
      <c r="AA41" s="22" t="s">
        <v>4696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-77315</v>
      </c>
      <c r="C29" s="18">
        <v>0</v>
      </c>
      <c r="D29" s="113">
        <f t="shared" si="0"/>
        <v>-77315</v>
      </c>
      <c r="E29" s="19" t="s">
        <v>4652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-66850</v>
      </c>
      <c r="C30" s="18">
        <v>0</v>
      </c>
      <c r="D30" s="113">
        <f t="shared" si="0"/>
        <v>-66850</v>
      </c>
      <c r="E30" s="19" t="s">
        <v>4662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4654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2019-02-03T10:01:19Z</dcterms:modified>
</cp:coreProperties>
</file>