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R191" i="18" l="1"/>
  <c r="R176" i="18"/>
  <c r="W153" i="18"/>
  <c r="W152" i="18"/>
  <c r="AJ140" i="18"/>
  <c r="M25" i="52"/>
  <c r="M24" i="52"/>
  <c r="D303" i="20"/>
  <c r="D302" i="20"/>
  <c r="R157" i="18"/>
  <c r="W151" i="18"/>
  <c r="M114" i="18" l="1"/>
  <c r="D301" i="20" l="1"/>
  <c r="D300" i="20"/>
  <c r="D299" i="20"/>
  <c r="M18" i="52" l="1"/>
  <c r="L24" i="52" s="1"/>
  <c r="Z18" i="52"/>
  <c r="AD18" i="52"/>
  <c r="AE18" i="52"/>
  <c r="P29" i="18"/>
  <c r="P28" i="18"/>
  <c r="P27" i="18"/>
  <c r="P24" i="18"/>
  <c r="P23" i="18"/>
  <c r="P22" i="18"/>
  <c r="P21" i="18"/>
  <c r="D298" i="20"/>
  <c r="I304" i="20" l="1"/>
  <c r="J304" i="20"/>
  <c r="K304" i="20"/>
  <c r="I305" i="20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I303" i="20" l="1"/>
  <c r="J303" i="20"/>
  <c r="K303" i="20"/>
  <c r="I302" i="20"/>
  <c r="K302" i="20"/>
  <c r="J302" i="20"/>
  <c r="I301" i="20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W149" i="18"/>
  <c r="U156" i="18"/>
  <c r="N54" i="18"/>
  <c r="N48" i="18"/>
  <c r="M111" i="18" l="1"/>
  <c r="N111" i="18" s="1"/>
  <c r="N28" i="18"/>
  <c r="N23" i="18"/>
  <c r="N53" i="18"/>
  <c r="AD17" i="52"/>
  <c r="AE17" i="52"/>
  <c r="AD16" i="52"/>
  <c r="AE16" i="52"/>
  <c r="Z17" i="52"/>
  <c r="D296" i="20"/>
  <c r="D295" i="20"/>
  <c r="W148" i="18" l="1"/>
  <c r="W147" i="18"/>
  <c r="L11" i="52"/>
  <c r="L10" i="52"/>
  <c r="AJ189" i="18"/>
  <c r="AL187" i="18"/>
  <c r="AL186" i="18" s="1"/>
  <c r="AL185" i="18" s="1"/>
  <c r="AL184" i="18" s="1"/>
  <c r="AL183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6" i="18" l="1"/>
  <c r="AM185" i="18"/>
  <c r="AM184" i="18"/>
  <c r="AM187" i="18"/>
  <c r="H33" i="55"/>
  <c r="G2" i="55"/>
  <c r="G33" i="55" s="1"/>
  <c r="D2" i="55"/>
  <c r="W146" i="18"/>
  <c r="W145" i="18"/>
  <c r="H38" i="55" l="1"/>
  <c r="I2" i="55"/>
  <c r="I33" i="55" s="1"/>
  <c r="I38" i="55" s="1"/>
  <c r="D32" i="55"/>
  <c r="D293" i="20"/>
  <c r="W144" i="18" l="1"/>
  <c r="N50" i="18"/>
  <c r="N57" i="18"/>
  <c r="N56" i="18"/>
  <c r="N46" i="18"/>
  <c r="N52" i="18"/>
  <c r="M110" i="18" l="1"/>
  <c r="N110" i="18" s="1"/>
  <c r="D292" i="20"/>
  <c r="C8" i="36"/>
  <c r="W143" i="18"/>
  <c r="N5" i="52"/>
  <c r="N51" i="18" l="1"/>
  <c r="N44" i="18"/>
  <c r="D291" i="20"/>
  <c r="D290" i="20" l="1"/>
  <c r="D289" i="20" l="1"/>
  <c r="N27" i="18" l="1"/>
  <c r="AL182" i="18"/>
  <c r="AL181" i="18" s="1"/>
  <c r="D288" i="20"/>
  <c r="AM183" i="18" l="1"/>
  <c r="AM182" i="18"/>
  <c r="AD4" i="52"/>
  <c r="D287" i="20" l="1"/>
  <c r="D286" i="20"/>
  <c r="F15" i="52"/>
  <c r="AB3" i="49" l="1"/>
  <c r="AB4" i="49"/>
  <c r="AB5" i="49"/>
  <c r="D285" i="20" l="1"/>
  <c r="W14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13" i="18"/>
  <c r="D281" i="20" l="1"/>
  <c r="D280" i="20" l="1"/>
  <c r="AD5" i="52" l="1"/>
  <c r="B38" i="52"/>
  <c r="D279" i="20"/>
  <c r="W118" i="18" l="1"/>
  <c r="W141" i="18"/>
  <c r="D278" i="20"/>
  <c r="W120" i="18" l="1"/>
  <c r="W11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13" i="18"/>
  <c r="AR14" i="18"/>
  <c r="S11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9" i="18"/>
  <c r="AL138" i="18" s="1"/>
  <c r="AL137" i="18" l="1"/>
  <c r="AM138" i="18"/>
  <c r="AM139" i="18"/>
  <c r="D270" i="20"/>
  <c r="N43" i="18"/>
  <c r="AL136" i="18" l="1"/>
  <c r="AM137" i="18"/>
  <c r="H270" i="20"/>
  <c r="H271" i="20"/>
  <c r="H272" i="20"/>
  <c r="D269" i="20"/>
  <c r="H269" i="20"/>
  <c r="AL135" i="18" l="1"/>
  <c r="AM136" i="18"/>
  <c r="S59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30" i="52"/>
  <c r="AD3" i="52"/>
  <c r="AD2" i="52"/>
  <c r="AL131" i="18" l="1"/>
  <c r="AM132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31" i="18" l="1"/>
  <c r="AL130" i="18"/>
  <c r="N4" i="52"/>
  <c r="N3" i="52"/>
  <c r="N2" i="52"/>
  <c r="AL129" i="18" l="1"/>
  <c r="AM130" i="18"/>
  <c r="N18" i="52"/>
  <c r="M20" i="52" s="1"/>
  <c r="AL128" i="18" l="1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40" i="18"/>
  <c r="N3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39" i="18"/>
  <c r="AM124" i="18" l="1"/>
  <c r="AL123" i="18"/>
  <c r="AM123" i="18" l="1"/>
  <c r="AL122" i="18"/>
  <c r="L34" i="18"/>
  <c r="AL121" i="18" l="1"/>
  <c r="AM122" i="18"/>
  <c r="W133" i="18"/>
  <c r="W134" i="18"/>
  <c r="W135" i="18"/>
  <c r="W136" i="18"/>
  <c r="W137" i="18"/>
  <c r="W138" i="18"/>
  <c r="W150" i="18"/>
  <c r="W132" i="18"/>
  <c r="AM121" i="18" l="1"/>
  <c r="AL120" i="18"/>
  <c r="N59" i="18"/>
  <c r="AM120" i="18" l="1"/>
  <c r="AL119" i="18"/>
  <c r="T172" i="18"/>
  <c r="AM119" i="18" l="1"/>
  <c r="AL118" i="18"/>
  <c r="T116" i="18"/>
  <c r="S41" i="18"/>
  <c r="S42" i="18" s="1"/>
  <c r="S43" i="18" s="1"/>
  <c r="R137" i="18"/>
  <c r="R136" i="18"/>
  <c r="R135" i="18"/>
  <c r="D57" i="51"/>
  <c r="AL117" i="18" l="1"/>
  <c r="AM118" i="18"/>
  <c r="S44" i="18"/>
  <c r="S45" i="18" s="1"/>
  <c r="AM117" i="18" l="1"/>
  <c r="AL116" i="18"/>
  <c r="S46" i="18"/>
  <c r="S47" i="18" s="1"/>
  <c r="S48" i="18" s="1"/>
  <c r="N29" i="18"/>
  <c r="AL115" i="18" l="1"/>
  <c r="AM116" i="18"/>
  <c r="Q50" i="18"/>
  <c r="R134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7" i="18"/>
  <c r="AM112" i="18" l="1"/>
  <c r="AL111" i="18"/>
  <c r="M109" i="18"/>
  <c r="N109" i="18" s="1"/>
  <c r="D108" i="50"/>
  <c r="AL110" i="18" l="1"/>
  <c r="AM111" i="18"/>
  <c r="N45" i="18"/>
  <c r="AL109" i="18" l="1"/>
  <c r="AM110" i="18"/>
  <c r="N42" i="18"/>
  <c r="M108" i="18" l="1"/>
  <c r="AL108" i="18"/>
  <c r="AM109" i="18"/>
  <c r="N108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S23" i="18" s="1"/>
  <c r="S24" i="18" s="1"/>
  <c r="S25" i="18" s="1"/>
  <c r="N22" i="18"/>
  <c r="N55" i="18"/>
  <c r="AL104" i="18" l="1"/>
  <c r="AM105" i="18"/>
  <c r="M112" i="18"/>
  <c r="N112" i="18" s="1"/>
  <c r="AL180" i="18"/>
  <c r="AM181" i="18"/>
  <c r="AL103" i="18" l="1"/>
  <c r="AM104" i="18"/>
  <c r="AL179" i="18"/>
  <c r="AM180" i="18"/>
  <c r="AL102" i="18" l="1"/>
  <c r="AM103" i="18"/>
  <c r="AL178" i="18"/>
  <c r="AM179" i="18"/>
  <c r="S26" i="18"/>
  <c r="S27" i="18" s="1"/>
  <c r="S28" i="18" s="1"/>
  <c r="S29" i="18" s="1"/>
  <c r="N84" i="18"/>
  <c r="AL101" i="18" l="1"/>
  <c r="AM102" i="18"/>
  <c r="AL177" i="18"/>
  <c r="AM178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01" i="18" l="1"/>
  <c r="AL100" i="18"/>
  <c r="S33" i="18"/>
  <c r="S34" i="18" s="1"/>
  <c r="AM177" i="18"/>
  <c r="AL176" i="18"/>
  <c r="D73" i="48"/>
  <c r="N24" i="18"/>
  <c r="AL99" i="18" l="1"/>
  <c r="AM100" i="18"/>
  <c r="M107" i="18"/>
  <c r="N107" i="18" s="1"/>
  <c r="AL175" i="18"/>
  <c r="AM176" i="18"/>
  <c r="AM99" i="18" l="1"/>
  <c r="AL98" i="18"/>
  <c r="AL174" i="18"/>
  <c r="AM175" i="18"/>
  <c r="P64" i="18"/>
  <c r="AL97" i="18" l="1"/>
  <c r="AM98" i="18"/>
  <c r="AL173" i="18"/>
  <c r="AM174" i="18"/>
  <c r="AM97" i="18" l="1"/>
  <c r="AL96" i="18"/>
  <c r="AL172" i="18"/>
  <c r="AM173" i="18"/>
  <c r="N23" i="33"/>
  <c r="D23" i="33" s="1"/>
  <c r="AM96" i="18" l="1"/>
  <c r="AL95" i="18"/>
  <c r="AL171" i="18"/>
  <c r="AM17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0" i="18"/>
  <c r="AM171" i="18"/>
  <c r="N21" i="18"/>
  <c r="AM94" i="18" l="1"/>
  <c r="AL93" i="18"/>
  <c r="Q36" i="18"/>
  <c r="R133" i="18"/>
  <c r="AJ193" i="18"/>
  <c r="AJ194" i="18" s="1"/>
  <c r="AL169" i="18"/>
  <c r="AM170" i="18"/>
  <c r="AL92" i="18" l="1"/>
  <c r="AM93" i="18"/>
  <c r="AL168" i="18"/>
  <c r="AM169" i="18"/>
  <c r="S60" i="18"/>
  <c r="S61" i="18" s="1"/>
  <c r="AL91" i="18" l="1"/>
  <c r="AM92" i="18"/>
  <c r="AM168" i="18"/>
  <c r="AL167" i="18"/>
  <c r="AL90" i="18" l="1"/>
  <c r="AM91" i="18"/>
  <c r="AL166" i="18"/>
  <c r="AM167" i="18"/>
  <c r="AM90" i="18" l="1"/>
  <c r="AL89" i="18"/>
  <c r="AM166" i="18"/>
  <c r="AL165" i="18"/>
  <c r="AL88" i="18" l="1"/>
  <c r="AM89" i="18"/>
  <c r="AM165" i="18"/>
  <c r="AL164" i="18"/>
  <c r="B8" i="36"/>
  <c r="AM88" i="18" l="1"/>
  <c r="AL87" i="18"/>
  <c r="AL163" i="18"/>
  <c r="AM164" i="18"/>
  <c r="B10" i="36"/>
  <c r="AL86" i="18" l="1"/>
  <c r="AM87" i="18"/>
  <c r="AL162" i="18"/>
  <c r="AM163" i="18"/>
  <c r="S62" i="18"/>
  <c r="AL85" i="18" l="1"/>
  <c r="AM86" i="18"/>
  <c r="S63" i="18"/>
  <c r="S64" i="18" s="1"/>
  <c r="S65" i="18" s="1"/>
  <c r="S66" i="18" s="1"/>
  <c r="S67" i="18" s="1"/>
  <c r="S68" i="18" s="1"/>
  <c r="AL161" i="18"/>
  <c r="AM162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1" i="18"/>
  <c r="AL160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0" i="18"/>
  <c r="AL159" i="18"/>
  <c r="AC15" i="33"/>
  <c r="AL82" i="18" l="1"/>
  <c r="AM83" i="18"/>
  <c r="AM159" i="18"/>
  <c r="AL158" i="18"/>
  <c r="N16" i="33"/>
  <c r="AL81" i="18" l="1"/>
  <c r="AM82" i="18"/>
  <c r="S71" i="18"/>
  <c r="S72" i="18" s="1"/>
  <c r="AM158" i="18"/>
  <c r="AL157" i="18"/>
  <c r="AM15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189" i="18"/>
  <c r="AN189" i="18" s="1"/>
  <c r="AJ192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5" i="18"/>
  <c r="AJ196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AL76" i="18"/>
  <c r="AM77" i="18"/>
  <c r="G291" i="20" l="1"/>
  <c r="I292" i="20"/>
  <c r="K292" i="20"/>
  <c r="J292" i="20"/>
  <c r="AL75" i="18"/>
  <c r="AM76" i="18"/>
  <c r="N58" i="18"/>
  <c r="Q108" i="18" s="1"/>
  <c r="M106" i="18" l="1"/>
  <c r="N106" i="18" s="1"/>
  <c r="N114" i="18" s="1"/>
  <c r="G290" i="20"/>
  <c r="J291" i="20"/>
  <c r="K291" i="20"/>
  <c r="I291" i="20"/>
  <c r="R132" i="18"/>
  <c r="AJ146" i="18"/>
  <c r="AJ147" i="18" s="1"/>
  <c r="AL74" i="18"/>
  <c r="AM75" i="18"/>
  <c r="G289" i="20" l="1"/>
  <c r="I290" i="20"/>
  <c r="K290" i="20"/>
  <c r="J290" i="20"/>
  <c r="R141" i="18"/>
  <c r="T159" i="18" s="1"/>
  <c r="AL73" i="18"/>
  <c r="AM74" i="18"/>
  <c r="N90" i="18"/>
  <c r="V101" i="18" l="1"/>
  <c r="W101" i="18" s="1"/>
  <c r="V103" i="18"/>
  <c r="V102" i="18"/>
  <c r="X101" i="18"/>
  <c r="G288" i="20"/>
  <c r="K289" i="20"/>
  <c r="J289" i="20"/>
  <c r="I289" i="20"/>
  <c r="S120" i="18"/>
  <c r="V162" i="18"/>
  <c r="U172" i="18"/>
  <c r="V172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07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W102" i="18" l="1"/>
  <c r="X102" i="18"/>
  <c r="W103" i="18"/>
  <c r="X103" i="18"/>
  <c r="X34" i="18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07" i="18"/>
  <c r="X107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19" i="18"/>
  <c r="N67" i="18"/>
  <c r="S118" i="18"/>
  <c r="U118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19" i="18"/>
  <c r="V119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40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40" i="18"/>
  <c r="AJ145" i="18" s="1"/>
  <c r="AJ149" i="18" s="1"/>
  <c r="E172" i="13"/>
  <c r="G173" i="13"/>
  <c r="D62" i="38"/>
  <c r="I234" i="20" l="1"/>
  <c r="K234" i="20"/>
  <c r="J234" i="20"/>
  <c r="G233" i="20"/>
  <c r="F244" i="15"/>
  <c r="D243" i="15"/>
  <c r="AJ148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18" i="18" l="1"/>
  <c r="U120" i="18"/>
  <c r="V120" i="18" s="1"/>
</calcChain>
</file>

<file path=xl/sharedStrings.xml><?xml version="1.0" encoding="utf-8"?>
<sst xmlns="http://schemas.openxmlformats.org/spreadsheetml/2006/main" count="10485" uniqueCount="4738">
  <si>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</si>
  <si>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</si>
  <si>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</si>
  <si>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</si>
  <si>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</si>
  <si>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</si>
  <si>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</si>
  <si>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</si>
  <si>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</si>
  <si>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</si>
  <si>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</si>
  <si>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</si>
  <si>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</si>
  <si>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</si>
  <si>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</si>
  <si>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</si>
  <si>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</si>
  <si>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</si>
  <si>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</si>
  <si>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</si>
  <si>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</si>
  <si>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</si>
  <si>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</si>
  <si>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</si>
  <si>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</si>
  <si>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</si>
  <si>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</si>
  <si>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</si>
  <si>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</si>
  <si>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</si>
  <si>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</si>
  <si>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</si>
  <si>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</si>
  <si>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</si>
  <si>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</si>
  <si>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</si>
  <si>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</si>
  <si>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</si>
  <si>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</si>
  <si>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</si>
  <si>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</si>
  <si>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</si>
  <si>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</si>
  <si>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</si>
  <si>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</si>
  <si>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</si>
  <si>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</si>
  <si>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</si>
  <si>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</si>
  <si>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</si>
  <si>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</si>
  <si>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</si>
  <si>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</si>
  <si>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</si>
  <si>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</si>
  <si>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</si>
  <si>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</si>
  <si>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</si>
  <si>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</si>
  <si>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</si>
  <si>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</si>
  <si>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</si>
  <si>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</si>
  <si>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</si>
  <si>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</si>
  <si>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</si>
  <si>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</si>
  <si>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</si>
  <si>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</si>
  <si>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</si>
  <si>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</si>
  <si>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</si>
  <si>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</si>
  <si>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</si>
  <si>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</si>
  <si>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</si>
  <si>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</si>
  <si>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</si>
  <si>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</si>
  <si>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</si>
  <si>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</si>
  <si>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</si>
  <si>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</si>
  <si>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</si>
  <si>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</si>
  <si>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</si>
  <si>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</si>
  <si>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</si>
  <si>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</si>
  <si>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</si>
  <si>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</si>
  <si>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</si>
  <si>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</si>
  <si>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</si>
  <si>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</si>
  <si>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</si>
  <si>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</si>
  <si>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</si>
  <si>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</si>
  <si>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</si>
  <si>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</si>
  <si>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</si>
  <si>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</si>
  <si>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</si>
  <si>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</si>
  <si>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</si>
  <si>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</si>
  <si>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</si>
  <si>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</si>
  <si>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</si>
  <si>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</si>
  <si>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</si>
  <si>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</si>
  <si>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</si>
  <si>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</si>
  <si>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</si>
  <si>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</si>
  <si>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</si>
  <si>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</si>
  <si>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</si>
  <si>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</si>
  <si>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</si>
  <si>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</si>
  <si>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</si>
  <si>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</si>
  <si>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</si>
  <si>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</si>
  <si>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</si>
  <si>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</si>
  <si>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</si>
  <si>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</si>
  <si>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</si>
  <si>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</si>
  <si>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</si>
  <si>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</si>
  <si>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</si>
  <si>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</si>
  <si>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</si>
  <si>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</si>
  <si>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</si>
  <si>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</si>
  <si>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</si>
  <si>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</si>
  <si>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</si>
  <si>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</si>
  <si>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</si>
  <si>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</si>
  <si>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</si>
  <si>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</si>
  <si>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</si>
  <si>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</si>
  <si>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</si>
  <si>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</si>
  <si>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</si>
  <si>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</si>
  <si>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</si>
  <si>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</si>
  <si>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</si>
  <si>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</si>
  <si>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</si>
  <si>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</si>
  <si>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</si>
  <si>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</si>
  <si>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</si>
  <si>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</si>
  <si>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</si>
  <si>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</si>
  <si>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</si>
  <si>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</si>
  <si>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</si>
  <si>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</si>
  <si>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</si>
  <si>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</si>
  <si>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</si>
  <si>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</si>
  <si>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</si>
  <si>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</si>
  <si>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</si>
  <si>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</si>
  <si>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</si>
  <si>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</si>
  <si>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</si>
  <si>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</si>
  <si>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</si>
  <si>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</si>
  <si>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</si>
  <si>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</si>
  <si>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</si>
  <si>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</si>
  <si>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</si>
  <si>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</si>
  <si>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</si>
  <si>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</si>
  <si>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</si>
  <si>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</si>
  <si>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</si>
  <si>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</si>
  <si>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</si>
  <si>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</si>
  <si>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</si>
  <si>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</si>
  <si>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</si>
  <si>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</si>
  <si>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</si>
  <si>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</si>
  <si>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</si>
  <si>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</si>
  <si>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</si>
  <si>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</si>
  <si>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</si>
  <si>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</si>
  <si>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</si>
  <si>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</si>
  <si>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</si>
  <si>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</si>
  <si>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</si>
  <si>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</si>
  <si>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</si>
  <si>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</si>
  <si>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</si>
  <si>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</si>
  <si>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</si>
  <si>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</si>
  <si>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</si>
  <si>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</si>
  <si>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</si>
  <si>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</si>
  <si>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</si>
  <si>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</si>
  <si>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</si>
  <si>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</si>
  <si>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</si>
  <si>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</si>
  <si>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</si>
  <si>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</si>
  <si>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</si>
  <si>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</si>
  <si>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</si>
  <si>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</si>
  <si>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</si>
  <si>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</si>
  <si>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</si>
  <si>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</si>
  <si>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</si>
  <si>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</si>
  <si>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</si>
  <si>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</si>
  <si>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</si>
  <si>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</si>
  <si>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</si>
  <si>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</si>
  <si>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</si>
  <si>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</si>
  <si>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</si>
  <si>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</si>
  <si>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</si>
  <si>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</si>
  <si>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</si>
  <si>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</si>
  <si>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</si>
  <si>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</si>
  <si>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</si>
  <si>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</si>
  <si>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</si>
  <si>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</si>
  <si>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</si>
  <si>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</si>
  <si>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</si>
  <si>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</si>
  <si>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</si>
  <si>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</si>
  <si>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</si>
  <si>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</si>
  <si>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</si>
  <si>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</si>
  <si>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</si>
  <si>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</si>
  <si>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</si>
  <si>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</si>
  <si>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</si>
  <si>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</si>
  <si>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</si>
  <si>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</si>
  <si>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</si>
  <si>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</si>
  <si>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</si>
  <si>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</si>
  <si>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</si>
  <si>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</si>
  <si>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</si>
  <si>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</si>
  <si>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</si>
  <si>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</si>
  <si>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</si>
  <si>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</si>
  <si>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</si>
  <si>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</si>
  <si>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</si>
  <si>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</si>
  <si>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</si>
  <si>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</si>
  <si>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</si>
  <si>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</si>
  <si>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</si>
  <si>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</si>
  <si>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</si>
  <si>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</si>
  <si>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</si>
  <si>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</si>
  <si>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</si>
  <si>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</si>
  <si>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</si>
  <si>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</si>
  <si>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</si>
  <si>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</si>
  <si>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</si>
  <si>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</si>
  <si>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</si>
  <si>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</si>
  <si>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</si>
  <si>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</si>
  <si>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</si>
  <si>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</si>
  <si>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</si>
  <si>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</si>
  <si>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</si>
  <si>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</si>
  <si>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</si>
  <si>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</si>
  <si>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</si>
  <si>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</si>
  <si>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</si>
  <si>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</si>
  <si>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</si>
  <si>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</si>
  <si>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</si>
  <si>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</si>
  <si>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</si>
  <si>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</si>
  <si>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</si>
  <si>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</si>
  <si>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</si>
  <si>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</si>
  <si>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</si>
  <si>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</si>
  <si>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</si>
  <si>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</si>
  <si>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</si>
  <si>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</si>
  <si>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</si>
  <si>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</si>
  <si>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</si>
  <si>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</si>
  <si>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</si>
  <si>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</si>
  <si>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</si>
  <si>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</si>
  <si>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</si>
  <si>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</si>
  <si>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</si>
  <si>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</si>
  <si>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</si>
  <si>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</si>
  <si>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</si>
  <si>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</si>
  <si>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</si>
  <si>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</si>
  <si>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</si>
  <si>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</si>
  <si>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</si>
  <si>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</si>
  <si>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</si>
  <si>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</si>
  <si>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</si>
  <si>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</si>
  <si>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</si>
  <si>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</si>
  <si>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</si>
  <si>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</si>
  <si>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</si>
  <si>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</si>
  <si>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</si>
  <si>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</si>
  <si>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</si>
  <si>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</si>
  <si>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</si>
  <si>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</si>
  <si>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</si>
  <si>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</si>
  <si>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</si>
  <si>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</si>
  <si>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</si>
  <si>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</si>
  <si>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</si>
  <si>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</si>
  <si>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</si>
  <si>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</si>
  <si>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</si>
  <si>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</si>
  <si>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</si>
  <si>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</si>
  <si>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</si>
  <si>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</si>
  <si>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</si>
  <si>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</si>
  <si>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</si>
  <si>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</si>
  <si>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</si>
  <si>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</si>
  <si>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</si>
  <si>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</si>
  <si>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</si>
  <si>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</si>
  <si>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</si>
  <si>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</si>
  <si>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</si>
  <si>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</si>
  <si>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</si>
  <si>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</si>
  <si>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</si>
  <si>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</si>
  <si>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</si>
  <si>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</si>
  <si>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</si>
  <si>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</si>
  <si>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</si>
  <si>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</si>
  <si>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</si>
  <si>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</si>
  <si>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</si>
  <si>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</si>
  <si>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</si>
  <si>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</si>
  <si>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</si>
  <si>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</si>
  <si>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</si>
  <si>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</si>
  <si>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</si>
  <si>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</si>
  <si>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</si>
  <si>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</si>
  <si>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</si>
  <si>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</si>
  <si>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</si>
  <si>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</si>
  <si>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</si>
  <si>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</si>
  <si>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</si>
  <si>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</si>
  <si>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</si>
  <si>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</si>
  <si>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</si>
  <si>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</si>
  <si>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</si>
  <si>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</si>
  <si>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</si>
  <si>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</si>
  <si>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</si>
  <si>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</si>
  <si>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</si>
  <si>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</si>
  <si>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</si>
  <si>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</si>
  <si>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</si>
  <si>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</si>
  <si>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</si>
  <si>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</si>
  <si>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</si>
  <si>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</si>
  <si>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</si>
  <si>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</si>
  <si>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</si>
  <si>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</si>
  <si>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</si>
  <si>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</si>
  <si>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</si>
  <si>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</si>
  <si>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</si>
  <si>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</si>
  <si>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</si>
  <si>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</si>
  <si>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</si>
  <si>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</si>
  <si>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</si>
  <si>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</si>
  <si>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</si>
  <si>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</si>
  <si>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</si>
  <si>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</si>
  <si>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</si>
  <si>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</si>
  <si>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</si>
  <si>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</si>
  <si>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</si>
  <si>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</si>
  <si>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</si>
  <si>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</si>
  <si>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</si>
  <si>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</si>
  <si>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</si>
  <si>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</si>
  <si>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</si>
  <si>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</si>
  <si>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</si>
  <si>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</si>
  <si>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</si>
  <si>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</si>
  <si>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</si>
  <si>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</si>
  <si>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</si>
  <si>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</si>
  <si>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</si>
  <si>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</si>
  <si>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</si>
  <si>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</si>
  <si>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</si>
  <si>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</si>
  <si>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</si>
  <si>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</si>
  <si>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</si>
  <si>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</si>
  <si>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</si>
  <si>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</si>
  <si>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</si>
  <si>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</si>
  <si>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</si>
  <si>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</si>
  <si>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</si>
  <si>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</si>
  <si>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</si>
  <si>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</si>
  <si>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</si>
  <si>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</si>
  <si>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</si>
  <si>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</si>
  <si>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</si>
  <si>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</si>
  <si>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</si>
  <si>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</si>
  <si>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</si>
  <si>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</si>
  <si>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</si>
  <si>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</si>
  <si>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</si>
  <si>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</si>
  <si>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</si>
  <si>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</si>
  <si>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</si>
  <si>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</si>
  <si>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</si>
  <si>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</si>
  <si>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</si>
  <si>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</si>
  <si>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</si>
  <si>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</si>
  <si>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</si>
  <si>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</si>
  <si>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</si>
  <si>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</si>
  <si>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</si>
  <si>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</si>
  <si>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</si>
  <si>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</si>
  <si>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</si>
  <si>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</si>
  <si>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</si>
  <si>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</si>
  <si>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</si>
  <si>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</si>
  <si>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</si>
  <si>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</si>
  <si>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</si>
  <si>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</si>
  <si>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</si>
  <si>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</si>
  <si>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</si>
  <si>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</si>
  <si>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</si>
  <si>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</si>
  <si>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</si>
  <si>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</si>
  <si>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</si>
  <si>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</si>
  <si>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</si>
  <si>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</si>
  <si>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</si>
  <si>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</si>
  <si>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</si>
  <si>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</si>
  <si>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</si>
  <si>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</si>
  <si>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</si>
  <si>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</si>
  <si>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</si>
  <si>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</si>
  <si>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</si>
  <si>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</si>
  <si>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</si>
  <si>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</si>
  <si>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</si>
  <si>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</si>
  <si>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</si>
  <si>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</si>
  <si>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</si>
  <si>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</si>
  <si>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</si>
  <si>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</si>
  <si>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</si>
  <si>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</si>
  <si>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</si>
  <si>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</si>
  <si>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</si>
  <si>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</si>
  <si>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</si>
  <si>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</si>
  <si>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</si>
  <si>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</si>
  <si>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</si>
  <si>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</si>
  <si>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</si>
  <si>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</si>
  <si>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</si>
  <si>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</si>
  <si>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</si>
  <si>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</si>
  <si>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</si>
  <si>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</si>
  <si>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</si>
  <si>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</si>
  <si>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</si>
  <si>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</si>
  <si>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</si>
  <si>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</si>
  <si>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</si>
  <si>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</si>
  <si>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</si>
  <si>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</si>
  <si>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</si>
  <si>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</si>
  <si>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</si>
  <si>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</si>
  <si>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</si>
  <si>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</si>
  <si>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</si>
  <si>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</si>
  <si>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</si>
  <si>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</si>
  <si>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</si>
  <si>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</si>
  <si>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</si>
  <si>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</si>
  <si>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</si>
  <si>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</si>
  <si>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</si>
  <si>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</si>
  <si>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</si>
  <si>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</si>
  <si>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</si>
  <si>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</si>
  <si>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</si>
  <si>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</si>
  <si>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</si>
  <si>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</si>
  <si>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</si>
  <si>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</si>
  <si>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</si>
  <si>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</si>
  <si>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</si>
  <si>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</si>
  <si>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</si>
  <si>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</si>
  <si>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</si>
  <si>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</si>
  <si>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</si>
  <si>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</si>
  <si>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</si>
  <si>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</si>
  <si>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</si>
  <si>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</si>
  <si>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</si>
  <si>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</si>
  <si>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</si>
  <si>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</si>
  <si>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</si>
  <si>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</si>
  <si>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</si>
  <si>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</si>
  <si>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</si>
  <si>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</si>
  <si>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</si>
  <si>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</si>
  <si>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</si>
  <si>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</si>
  <si>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</si>
  <si>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</si>
  <si>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</si>
  <si>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</si>
  <si>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</si>
  <si>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</si>
  <si>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</si>
  <si>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</si>
  <si>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</si>
  <si>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</si>
  <si>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</si>
  <si>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</si>
  <si>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</si>
  <si>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</si>
  <si>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</si>
  <si>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</si>
  <si>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</si>
  <si>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</si>
  <si>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</si>
  <si>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</si>
  <si>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</si>
  <si>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</si>
  <si>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</si>
  <si>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</si>
  <si>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</si>
  <si>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</si>
  <si>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</si>
  <si>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</si>
  <si>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</si>
  <si>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</si>
  <si>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</si>
  <si>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</si>
  <si>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</si>
  <si>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</si>
  <si>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</si>
  <si>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</si>
  <si>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</si>
  <si>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</si>
  <si>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</si>
  <si>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</si>
  <si>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</si>
  <si>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</si>
  <si>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</si>
  <si>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</si>
  <si>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</si>
  <si>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</si>
  <si>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</si>
  <si>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</si>
  <si>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</si>
  <si>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</si>
  <si>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</si>
  <si>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</si>
  <si>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</si>
  <si>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</si>
  <si>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</si>
  <si>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</si>
  <si>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</si>
  <si>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</si>
  <si>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</si>
  <si>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</si>
  <si>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</si>
  <si>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</si>
  <si>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</si>
  <si>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</si>
  <si>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</si>
  <si>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</si>
  <si>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</si>
  <si>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</si>
  <si>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</si>
  <si>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</si>
  <si>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</si>
  <si>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</si>
  <si>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</si>
  <si>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</si>
  <si>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</si>
  <si>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</si>
  <si>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</si>
  <si>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</si>
  <si>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</si>
  <si>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</si>
  <si>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</si>
  <si>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</si>
  <si>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</si>
  <si>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</si>
  <si>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</si>
  <si>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</si>
  <si>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</si>
  <si>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</si>
  <si>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</si>
  <si>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</si>
  <si>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</si>
  <si>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</si>
  <si>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</si>
  <si>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</si>
  <si>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</si>
  <si>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</si>
  <si>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</si>
  <si>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</si>
  <si>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</si>
  <si>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</si>
  <si>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</si>
  <si>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</si>
  <si>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</si>
  <si>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</si>
  <si>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</si>
  <si>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</si>
  <si>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</si>
  <si>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</si>
  <si>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</si>
  <si>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</si>
  <si>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</si>
  <si>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</si>
  <si>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</si>
  <si>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</si>
  <si>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</si>
  <si>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</si>
  <si>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</si>
  <si>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</si>
  <si>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</si>
  <si>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</si>
  <si>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</si>
  <si>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</si>
  <si>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</si>
  <si>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</si>
  <si>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</si>
  <si>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</si>
  <si>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</si>
  <si>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</si>
  <si>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</si>
  <si>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</si>
  <si>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</si>
  <si>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</si>
  <si>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</si>
  <si>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</si>
  <si>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</si>
  <si>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</si>
  <si>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</si>
  <si>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</si>
  <si>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</si>
  <si>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</si>
  <si>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</si>
  <si>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</si>
  <si>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</si>
  <si>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</si>
  <si>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</si>
  <si>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</si>
  <si>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</si>
  <si>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</si>
  <si>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</si>
  <si>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</si>
  <si>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</si>
  <si>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</si>
  <si>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</si>
  <si>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</si>
  <si>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</si>
  <si>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</si>
  <si>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</si>
  <si>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</si>
  <si>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</si>
  <si>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</si>
  <si>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</si>
  <si>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</si>
  <si>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</si>
  <si>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</si>
  <si>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</si>
  <si>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</si>
  <si>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</si>
  <si>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</si>
  <si>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</si>
  <si>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</si>
  <si>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</si>
  <si>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</si>
  <si>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</si>
  <si>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</si>
  <si>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</si>
  <si>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</si>
  <si>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</si>
  <si>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</si>
  <si>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</si>
  <si>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</si>
  <si>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</si>
  <si>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</si>
  <si>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</si>
  <si>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</si>
  <si>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</si>
  <si>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</si>
  <si>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</si>
  <si>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</si>
  <si>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</si>
  <si>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</si>
  <si>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</si>
  <si>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</si>
  <si>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</si>
  <si>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</si>
  <si>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</si>
  <si>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</si>
  <si>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</si>
  <si>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</si>
  <si>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</si>
  <si>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</si>
  <si>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</si>
  <si>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</si>
  <si>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</si>
  <si>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</si>
  <si>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</si>
  <si>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</si>
  <si>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</si>
  <si>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</si>
  <si>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</si>
  <si>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</si>
  <si>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</si>
  <si>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</si>
  <si>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</si>
  <si>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</si>
  <si>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</si>
  <si>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</si>
  <si>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</si>
  <si>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</si>
  <si>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</si>
  <si>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</si>
  <si>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</si>
  <si>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</si>
  <si>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</si>
  <si>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</si>
  <si>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</si>
  <si>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</si>
  <si>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</si>
  <si>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</si>
  <si>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</si>
  <si>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</si>
  <si>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</si>
  <si>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</si>
  <si>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</si>
  <si>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</si>
  <si>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</si>
  <si>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</si>
  <si>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</si>
  <si>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</si>
  <si>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</si>
  <si>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</si>
  <si>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</si>
  <si>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</si>
  <si>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</si>
  <si>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</si>
  <si>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</si>
  <si>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</si>
  <si>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</si>
  <si>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</si>
  <si>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</si>
  <si>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</si>
  <si>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</si>
  <si>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</si>
  <si>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</si>
  <si>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</si>
  <si>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</si>
  <si>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</si>
  <si>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</si>
  <si>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</si>
  <si>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</si>
  <si>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</si>
  <si>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</si>
  <si>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</si>
  <si>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</si>
  <si>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</si>
  <si>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</si>
  <si>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</si>
  <si>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</si>
  <si>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</si>
  <si>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</si>
  <si>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</si>
  <si>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</si>
  <si>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</si>
  <si>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</si>
  <si>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</si>
  <si>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</si>
  <si>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</si>
  <si>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</si>
  <si>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</si>
  <si>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</si>
  <si>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</si>
  <si>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</si>
  <si>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</si>
  <si>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</si>
  <si>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</si>
  <si>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</si>
  <si>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</si>
  <si>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</si>
  <si>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</si>
  <si>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</si>
  <si>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</si>
  <si>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</si>
  <si>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</si>
  <si>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</si>
  <si>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</si>
  <si>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</si>
  <si>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</si>
  <si>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</si>
  <si>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</si>
  <si>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</si>
  <si>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</si>
  <si>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</si>
  <si>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</si>
  <si>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</si>
  <si>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</si>
  <si>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</si>
  <si>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</si>
  <si>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</si>
  <si>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</si>
  <si>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</si>
  <si>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</si>
  <si>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</si>
  <si>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</si>
  <si>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</si>
  <si>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</si>
  <si>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</si>
  <si>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</si>
  <si>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</si>
  <si>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</si>
  <si>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</si>
  <si>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</si>
  <si>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</si>
  <si>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</si>
  <si>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</si>
  <si>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</si>
  <si>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</si>
  <si>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</si>
  <si>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</si>
  <si>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</si>
  <si>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</si>
  <si>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</si>
  <si>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</si>
  <si>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</si>
  <si>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</si>
  <si>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</si>
  <si>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</si>
  <si>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</si>
  <si>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</si>
  <si>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</si>
  <si>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</si>
  <si>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</si>
  <si>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</si>
  <si>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</si>
  <si>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</si>
  <si>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</si>
  <si>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</si>
  <si>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</si>
  <si>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</si>
  <si>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</si>
  <si>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</si>
  <si>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</si>
  <si>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</si>
  <si>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</si>
  <si>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</si>
  <si>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</si>
  <si>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</si>
  <si>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</si>
  <si>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</si>
  <si>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</si>
  <si>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</si>
  <si>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</si>
  <si>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</si>
  <si>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</si>
  <si>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</si>
  <si>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</si>
  <si>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</si>
  <si>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</si>
  <si>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</si>
  <si>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</si>
  <si>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</si>
  <si>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</si>
  <si>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</si>
  <si>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</si>
  <si>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</si>
  <si>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</si>
  <si>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</si>
  <si>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</si>
  <si>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</si>
  <si>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</si>
  <si>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</si>
  <si>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</si>
  <si>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</si>
  <si>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</si>
  <si>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</si>
  <si>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</si>
  <si>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</si>
  <si>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</si>
  <si>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</si>
  <si>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</si>
  <si>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</si>
  <si>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</si>
  <si>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</si>
  <si>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</si>
  <si>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</si>
  <si>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</si>
  <si>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</si>
  <si>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</si>
  <si>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</si>
  <si>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</si>
  <si>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</si>
  <si>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</si>
  <si>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</si>
  <si>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</si>
  <si>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</si>
  <si>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</si>
  <si>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</si>
  <si>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</si>
  <si>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</si>
  <si>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</si>
  <si>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</si>
  <si>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</si>
  <si>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</si>
  <si>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</si>
  <si>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</si>
  <si>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</si>
  <si>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</si>
  <si>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</si>
  <si>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</si>
  <si>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</si>
  <si>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</si>
  <si>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</si>
  <si>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</si>
  <si>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</si>
  <si>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</si>
  <si>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</si>
  <si>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</si>
  <si>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</si>
  <si>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</si>
  <si>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</si>
  <si>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</si>
  <si>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</si>
  <si>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</si>
  <si>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</si>
  <si>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</si>
  <si>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</si>
  <si>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</si>
  <si>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</si>
  <si>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</si>
  <si>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</si>
  <si>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</si>
  <si>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</si>
  <si>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</si>
  <si>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</si>
  <si>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</si>
  <si>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</si>
  <si>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</si>
  <si>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</si>
  <si>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</si>
  <si>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</si>
  <si>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</si>
  <si>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</si>
  <si>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</si>
  <si>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</si>
  <si>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</si>
  <si>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</si>
  <si>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</si>
  <si>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</si>
  <si>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</si>
  <si>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</si>
  <si>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</si>
  <si>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</si>
  <si>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</si>
  <si>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</si>
  <si>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</si>
  <si>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</si>
  <si>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</si>
  <si>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</si>
  <si>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</si>
  <si>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</si>
  <si>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</si>
  <si>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</si>
  <si>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</si>
  <si>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</si>
  <si>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</si>
  <si>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</si>
  <si>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</si>
  <si>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</si>
  <si>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</si>
  <si>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</si>
  <si>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</si>
  <si>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</si>
  <si>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</si>
  <si>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</si>
  <si>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</si>
  <si>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</si>
  <si>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</si>
  <si>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</si>
  <si>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</si>
  <si>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</si>
  <si>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</si>
  <si>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</si>
  <si>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</si>
  <si>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</si>
  <si>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</si>
  <si>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</si>
  <si>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</si>
  <si>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</si>
  <si>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</si>
  <si>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</si>
  <si>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</si>
  <si>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</si>
  <si>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</si>
  <si>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</si>
  <si>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</si>
  <si>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</si>
  <si>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</si>
  <si>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</si>
  <si>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</si>
  <si>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</si>
  <si>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</si>
  <si>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</si>
  <si>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</si>
  <si>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</si>
  <si>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</si>
  <si>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</si>
  <si>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</si>
  <si>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</si>
  <si>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</si>
  <si>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</si>
  <si>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</si>
  <si>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</si>
  <si>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</si>
  <si>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</si>
  <si>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</si>
  <si>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</si>
  <si>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</si>
  <si>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</si>
  <si>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</si>
  <si>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</si>
  <si>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</si>
  <si>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</si>
  <si>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</si>
  <si>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</si>
  <si>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</si>
  <si>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</si>
  <si>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</si>
  <si>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</si>
  <si>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</si>
  <si>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</si>
  <si>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</si>
  <si>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</si>
  <si>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</si>
  <si>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</si>
  <si>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</si>
  <si>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</si>
  <si>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</si>
  <si>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</si>
  <si>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</si>
  <si>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</si>
  <si>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</si>
  <si>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</si>
  <si>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</si>
  <si>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</si>
  <si>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</si>
  <si>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</si>
  <si>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</si>
  <si>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</si>
  <si>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</si>
  <si>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</si>
  <si>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</si>
  <si>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</si>
  <si>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</si>
  <si>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</si>
  <si>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</si>
  <si>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</si>
  <si>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</si>
  <si>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</si>
  <si>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</si>
  <si>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</si>
  <si>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</si>
  <si>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</si>
  <si>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</si>
  <si>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</si>
  <si>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</si>
  <si>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</si>
  <si>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</si>
  <si>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</si>
  <si>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</si>
  <si>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</si>
  <si>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</si>
  <si>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</si>
  <si>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</si>
  <si>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</si>
  <si>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</si>
  <si>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</si>
  <si>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</si>
  <si>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</si>
  <si>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</si>
  <si>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</si>
  <si>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</si>
  <si>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</si>
  <si>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</si>
  <si>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</si>
  <si>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</si>
  <si>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</si>
  <si>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</si>
  <si>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</si>
  <si>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</si>
  <si>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</si>
  <si>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</si>
  <si>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</si>
  <si>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</si>
  <si>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</si>
  <si>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</si>
  <si>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</si>
  <si>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</si>
  <si>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</si>
  <si>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</si>
  <si>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</si>
  <si>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</si>
  <si>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</si>
  <si>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</si>
  <si>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</si>
  <si>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</si>
  <si>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</si>
  <si>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</si>
  <si>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</si>
  <si>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</si>
  <si>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</si>
  <si>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</si>
  <si>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</si>
  <si>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</si>
  <si>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</si>
  <si>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</si>
  <si>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</si>
  <si>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</si>
  <si>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</si>
  <si>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</si>
  <si>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</si>
  <si>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</si>
  <si>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</si>
  <si>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</si>
  <si>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</si>
  <si>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</si>
  <si>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</si>
  <si>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</si>
  <si>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</si>
  <si>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</si>
  <si>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</si>
  <si>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</si>
  <si>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</si>
  <si>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</si>
  <si>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</si>
  <si>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</si>
  <si>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</si>
  <si>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</si>
  <si>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</si>
  <si>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</si>
  <si>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</si>
  <si>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</si>
  <si>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</si>
  <si>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</si>
  <si>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</si>
  <si>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</si>
  <si>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</si>
  <si>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</si>
  <si>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</si>
  <si>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</si>
  <si>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</si>
  <si>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</si>
  <si>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</si>
  <si>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</si>
  <si>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</si>
  <si>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</si>
  <si>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</si>
  <si>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</si>
  <si>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</si>
  <si>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</si>
  <si>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</si>
  <si>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</si>
  <si>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</si>
  <si>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</si>
  <si>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</si>
  <si>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</si>
  <si>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</si>
  <si>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</si>
  <si>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</si>
  <si>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</si>
  <si>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</si>
  <si>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</si>
  <si>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</si>
  <si>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</si>
  <si>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</si>
  <si>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</si>
  <si>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</si>
  <si>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</si>
  <si>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</si>
  <si>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</si>
  <si>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</si>
  <si>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</si>
  <si>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</si>
  <si>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</si>
  <si>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</si>
  <si>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</si>
  <si>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</si>
  <si>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</si>
  <si>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</si>
  <si>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</si>
  <si>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</si>
  <si>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</si>
  <si>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</si>
  <si>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</si>
  <si>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</si>
  <si>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</si>
  <si>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</si>
  <si>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</si>
  <si>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</si>
  <si>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</si>
  <si>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</si>
  <si>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</si>
  <si>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</si>
  <si>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</si>
  <si>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</si>
  <si>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</si>
  <si>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</si>
  <si>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</si>
  <si>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</si>
  <si>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</si>
  <si>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</si>
  <si>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</si>
  <si>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</si>
  <si>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</si>
  <si>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</si>
  <si>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</si>
  <si>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</si>
  <si>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</si>
  <si>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</si>
  <si>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</si>
  <si>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</si>
  <si>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</si>
  <si>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</si>
  <si>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</si>
  <si>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</si>
  <si>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</si>
  <si>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</si>
  <si>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</si>
  <si>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</si>
  <si>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</si>
  <si>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</si>
  <si>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</si>
  <si>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</si>
  <si>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</si>
  <si>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</si>
  <si>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</si>
  <si>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</si>
  <si>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</si>
  <si>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</si>
  <si>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</si>
  <si>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</si>
  <si>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</si>
  <si>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</si>
  <si>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</si>
  <si>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</si>
  <si>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</si>
  <si>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</si>
  <si>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</si>
  <si>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</si>
  <si>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</si>
  <si>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</si>
  <si>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</si>
  <si>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</si>
  <si>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</si>
  <si>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</si>
  <si>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</si>
  <si>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</si>
  <si>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</si>
  <si>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</si>
  <si>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</si>
  <si>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</si>
  <si>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</si>
  <si>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</si>
  <si>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</si>
  <si>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</si>
  <si>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</si>
  <si>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</si>
  <si>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</si>
  <si>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</si>
  <si>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</si>
  <si>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</si>
  <si>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</si>
  <si>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</si>
  <si>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</si>
  <si>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</si>
  <si>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</si>
  <si>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</si>
  <si>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</si>
  <si>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</si>
  <si>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</si>
  <si>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</si>
  <si>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</si>
  <si>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</si>
  <si>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</si>
  <si>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</si>
  <si>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</si>
  <si>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</si>
  <si>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</si>
  <si>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</si>
  <si>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</si>
  <si>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</si>
  <si>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</si>
  <si>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</si>
  <si>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</si>
  <si>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</si>
  <si>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</si>
  <si>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</si>
  <si>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</si>
  <si>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</si>
  <si>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</si>
  <si>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</si>
  <si>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</si>
  <si>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</si>
  <si>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</si>
  <si>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</si>
  <si>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</si>
  <si>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</si>
  <si>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</si>
  <si>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</si>
  <si>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</si>
  <si>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</si>
  <si>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</si>
  <si>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</si>
  <si>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</si>
  <si>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</si>
  <si>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</si>
  <si>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</si>
  <si>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</si>
  <si>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</si>
  <si>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</si>
  <si>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</si>
  <si>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</si>
  <si>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</si>
  <si>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</si>
  <si>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</si>
  <si>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</si>
  <si>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</si>
  <si>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</si>
  <si>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</si>
  <si>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</si>
  <si>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</si>
  <si>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</si>
  <si>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</si>
  <si>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</si>
  <si>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</si>
  <si>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</si>
  <si>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</si>
  <si>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</si>
  <si>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</si>
  <si>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</si>
  <si>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</si>
  <si>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</si>
  <si>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</si>
  <si>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</si>
  <si>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</si>
  <si>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</si>
  <si>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</si>
  <si>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</si>
  <si>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</si>
  <si>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</si>
  <si>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</si>
  <si>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</si>
  <si>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</si>
  <si>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</si>
  <si>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</si>
  <si>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</si>
  <si>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</si>
  <si>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</si>
  <si>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</si>
  <si>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</si>
  <si>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</si>
  <si>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</si>
  <si>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</si>
  <si>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</si>
  <si>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</si>
  <si>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</si>
  <si>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</si>
  <si>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</si>
  <si>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</si>
  <si>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</si>
  <si>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</si>
  <si>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</si>
  <si>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</si>
  <si>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</si>
  <si>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</si>
  <si>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</si>
  <si>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</si>
  <si>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</si>
  <si>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</si>
  <si>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</si>
  <si>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</si>
  <si>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</si>
  <si>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</si>
  <si>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</si>
  <si>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</si>
  <si>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</si>
  <si>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</si>
  <si>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</si>
  <si>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</si>
  <si>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</si>
  <si>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</si>
  <si>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</si>
  <si>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</si>
  <si>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</si>
  <si>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</si>
  <si>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</si>
  <si>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</si>
  <si>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</si>
  <si>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</si>
  <si>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</si>
  <si>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</si>
  <si>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</si>
  <si>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</si>
  <si>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</si>
  <si>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</si>
  <si>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</si>
  <si>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</si>
  <si>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</si>
  <si>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</si>
  <si>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</si>
  <si>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</si>
  <si>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</si>
  <si>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</si>
  <si>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</si>
  <si>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</si>
  <si>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</si>
  <si>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</si>
  <si>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</si>
  <si>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</si>
  <si>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</si>
  <si>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</si>
  <si>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</si>
  <si>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</si>
  <si>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</si>
  <si>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</si>
  <si>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</si>
  <si>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</si>
  <si>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</si>
  <si>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</si>
  <si>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</si>
  <si>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</si>
  <si>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</si>
  <si>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</si>
  <si>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</si>
  <si>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</si>
  <si>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</si>
  <si>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</si>
  <si>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</si>
  <si>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</si>
  <si>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</si>
  <si>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</si>
  <si>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</si>
  <si>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</si>
  <si>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</si>
  <si>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</si>
  <si>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</si>
  <si>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</si>
  <si>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</si>
  <si>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</si>
  <si>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</si>
  <si>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</si>
  <si>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</si>
  <si>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</si>
  <si>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</si>
  <si>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</si>
  <si>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</si>
  <si>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</si>
  <si>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</si>
  <si>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</si>
  <si>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</si>
  <si>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</si>
  <si>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</si>
  <si>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</si>
  <si>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</si>
  <si>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</si>
  <si>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</si>
  <si>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</si>
  <si>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</si>
  <si>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</si>
  <si>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</si>
  <si>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</si>
  <si>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</si>
  <si>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</si>
  <si>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</si>
  <si>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</si>
  <si>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</si>
  <si>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</si>
  <si>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</si>
  <si>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</si>
  <si>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</si>
  <si>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</si>
  <si>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</si>
  <si>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</si>
  <si>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</si>
  <si>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</si>
  <si>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</si>
  <si>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</si>
  <si>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</si>
  <si>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</si>
  <si>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</si>
  <si>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</si>
  <si>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</si>
  <si>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</si>
  <si>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</si>
  <si>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</si>
  <si>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</si>
  <si>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</si>
  <si>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</si>
  <si>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</si>
  <si>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</si>
  <si>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</si>
  <si>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</si>
  <si>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</si>
  <si>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</si>
  <si>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</si>
  <si>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</si>
  <si>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</si>
  <si>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</si>
  <si>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</si>
  <si>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</si>
  <si>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</si>
  <si>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</si>
  <si>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</si>
  <si>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</si>
  <si>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</si>
  <si>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</si>
  <si>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</si>
  <si>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</si>
  <si>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</si>
  <si>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</si>
  <si>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</si>
  <si>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</si>
  <si>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</si>
  <si>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</si>
  <si>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</si>
  <si>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</si>
  <si>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</si>
  <si>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</si>
  <si>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</si>
  <si>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</si>
  <si>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</si>
  <si>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</si>
  <si>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</si>
  <si>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</si>
  <si>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</si>
  <si>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</si>
  <si>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</si>
  <si>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</si>
  <si>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</si>
  <si>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</si>
  <si>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</si>
  <si>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</si>
  <si>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</si>
  <si>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</si>
  <si>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</si>
  <si>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</si>
  <si>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</si>
  <si>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</si>
  <si>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</si>
  <si>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</si>
  <si>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</si>
  <si>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</si>
  <si>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</si>
  <si>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</si>
  <si>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</si>
  <si>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</si>
  <si>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</si>
  <si>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</si>
  <si>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</si>
  <si>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</si>
  <si>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</si>
  <si>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</si>
  <si>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</si>
  <si>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</si>
  <si>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</si>
  <si>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</si>
  <si>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</si>
  <si>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</si>
  <si>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</si>
  <si>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</si>
  <si>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</si>
  <si>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</si>
  <si>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</si>
  <si>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</si>
  <si>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</si>
  <si>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</si>
  <si>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</si>
  <si>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</si>
  <si>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</si>
  <si>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</si>
  <si>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</si>
  <si>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</si>
  <si>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</si>
  <si>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</si>
  <si>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</si>
  <si>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</si>
  <si>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</si>
  <si>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</si>
  <si>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</si>
  <si>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</si>
  <si>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</si>
  <si>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</si>
  <si>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</si>
  <si>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</si>
  <si>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</si>
  <si>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</si>
  <si>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</si>
  <si>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</si>
  <si>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</si>
  <si>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</si>
  <si>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</si>
  <si>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</si>
  <si>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</si>
  <si>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</si>
  <si>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</si>
  <si>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</si>
  <si>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</si>
  <si>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</si>
  <si>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</si>
  <si>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</si>
  <si>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</si>
  <si>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</si>
  <si>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</si>
  <si>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</si>
  <si>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</si>
  <si>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</si>
  <si>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</si>
  <si>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</si>
  <si>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</si>
  <si>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</si>
  <si>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</si>
  <si>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</si>
  <si>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</si>
  <si>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</si>
  <si>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</si>
  <si>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</si>
  <si>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</si>
  <si>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</si>
  <si>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</si>
  <si>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</si>
  <si>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</si>
  <si>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</si>
  <si>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</si>
  <si>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</si>
  <si>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</si>
  <si>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</si>
  <si>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</si>
  <si>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</si>
  <si>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</si>
  <si>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</si>
  <si>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</si>
  <si>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</si>
  <si>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</si>
  <si>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</si>
  <si>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</si>
  <si>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</si>
  <si>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</si>
  <si>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</si>
  <si>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</si>
  <si>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</si>
  <si>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</si>
  <si>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</si>
  <si>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</si>
  <si>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</si>
  <si>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</si>
  <si>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</si>
  <si>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</si>
  <si>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</si>
  <si>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</si>
  <si>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</si>
  <si>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</si>
  <si>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</si>
  <si>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</si>
  <si>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</si>
  <si>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</si>
  <si>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</si>
  <si>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</si>
  <si>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</si>
  <si>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</si>
  <si>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</si>
  <si>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</si>
  <si>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</si>
  <si>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</si>
  <si>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</si>
  <si>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</si>
  <si>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</si>
  <si>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</si>
  <si>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</si>
  <si>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</si>
  <si>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</si>
  <si>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</si>
  <si>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</si>
  <si>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</si>
  <si>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</si>
  <si>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</si>
  <si>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</si>
  <si>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</si>
  <si>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</si>
  <si>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</si>
  <si>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</si>
  <si>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</si>
  <si>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</si>
  <si>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</si>
  <si>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</si>
  <si>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</si>
  <si>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</si>
  <si>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</si>
  <si>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</si>
  <si>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</si>
  <si>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</si>
  <si>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</si>
  <si>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</si>
  <si>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</si>
  <si>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</si>
  <si>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</si>
  <si>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</si>
  <si>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</si>
  <si>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</si>
  <si>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</si>
  <si>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</si>
  <si>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</si>
  <si>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</si>
  <si>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</si>
  <si>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</si>
  <si>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</si>
  <si>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</si>
  <si>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</si>
  <si>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</si>
  <si>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</si>
  <si>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</si>
  <si>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</si>
  <si>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</si>
  <si>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</si>
  <si>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</si>
  <si>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</si>
  <si>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</si>
  <si>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</si>
  <si>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</si>
  <si>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</si>
  <si>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</si>
  <si>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</si>
  <si>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</si>
  <si>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</si>
  <si>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</si>
  <si>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</si>
  <si>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</si>
  <si>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</si>
  <si>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</si>
  <si>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</si>
  <si>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</si>
  <si>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</si>
  <si>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</si>
  <si>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</si>
  <si>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</si>
  <si>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</si>
  <si>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</si>
  <si>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</si>
  <si>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</si>
  <si>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</si>
  <si>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</si>
  <si>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</si>
  <si>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</si>
  <si>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</si>
  <si>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</si>
  <si>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</si>
  <si>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</si>
  <si>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</si>
  <si>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</si>
  <si>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</si>
  <si>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</si>
  <si>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</si>
  <si>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</si>
  <si>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</si>
  <si>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</si>
  <si>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</si>
  <si>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</si>
  <si>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</si>
  <si>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</si>
  <si>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</si>
  <si>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</si>
  <si>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</si>
  <si>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</si>
  <si>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</si>
  <si>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</si>
  <si>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</si>
  <si>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</si>
  <si>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</si>
  <si>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</si>
  <si>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</si>
  <si>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</si>
  <si>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</si>
  <si>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</si>
  <si>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</si>
  <si>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</si>
  <si>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</si>
  <si>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</si>
  <si>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</si>
  <si>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</si>
  <si>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</si>
  <si>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</si>
  <si>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</si>
  <si>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</si>
  <si>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</si>
  <si>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</si>
  <si>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</si>
  <si>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</si>
  <si>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</si>
  <si>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</si>
  <si>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</si>
  <si>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</si>
  <si>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</si>
  <si>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</si>
  <si>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</si>
  <si>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</si>
  <si>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</si>
  <si>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</si>
  <si>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</si>
  <si>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</si>
  <si>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</si>
  <si>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</si>
  <si>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</si>
  <si>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</si>
  <si>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</si>
  <si>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</si>
  <si>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</si>
  <si>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</si>
  <si>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</si>
  <si>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</si>
  <si>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</si>
  <si>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</si>
  <si>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</si>
  <si>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</si>
  <si>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</si>
  <si>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</si>
  <si>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</si>
  <si>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</si>
  <si>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</si>
  <si>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</si>
  <si>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</si>
  <si>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</si>
  <si>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</si>
  <si>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</si>
  <si>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</si>
  <si>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</si>
  <si>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</si>
  <si>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</si>
  <si>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</si>
  <si>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</si>
  <si>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</si>
  <si>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</si>
  <si>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</si>
  <si>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</si>
  <si>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</si>
  <si>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</si>
  <si>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</si>
  <si>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</si>
  <si>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</si>
  <si>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</si>
  <si>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</si>
  <si>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</si>
  <si>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</si>
  <si>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</si>
  <si>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</si>
  <si>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</si>
  <si>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</si>
  <si>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</si>
  <si>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</si>
  <si>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</si>
  <si>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</si>
  <si>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</si>
  <si>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</si>
  <si>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</si>
  <si>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</si>
  <si>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</si>
  <si>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</si>
  <si>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</si>
  <si>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</si>
  <si>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</si>
  <si>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</si>
  <si>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</si>
  <si>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</si>
  <si>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</si>
  <si>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</si>
  <si>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</si>
  <si>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</si>
  <si>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</si>
  <si>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</si>
  <si>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</si>
  <si>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</si>
  <si>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</si>
  <si>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</si>
  <si>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</si>
  <si>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</si>
  <si>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</si>
  <si>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</si>
  <si>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</si>
  <si>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</si>
  <si>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</si>
  <si>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</si>
  <si>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</si>
  <si>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</si>
  <si>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</si>
  <si>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</si>
  <si>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</si>
  <si>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</si>
  <si>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</si>
  <si>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</si>
  <si>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</si>
  <si>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</si>
  <si>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</si>
  <si>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</si>
  <si>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</si>
  <si>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</si>
  <si>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</si>
  <si>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</si>
  <si>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</si>
  <si>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</si>
  <si>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</si>
  <si>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</si>
  <si>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</si>
  <si>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</si>
  <si>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</si>
  <si>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</si>
  <si>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</si>
  <si>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</si>
  <si>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</si>
  <si>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</si>
  <si>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</si>
  <si>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</si>
  <si>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</si>
  <si>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</si>
  <si>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</si>
  <si>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</si>
  <si>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</si>
  <si>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</si>
  <si>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</si>
  <si>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</si>
  <si>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</si>
  <si>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</si>
  <si>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</si>
  <si>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</si>
  <si>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</si>
  <si>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</si>
  <si>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</si>
  <si>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</si>
  <si>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</si>
  <si>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</si>
  <si>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</si>
  <si>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</si>
  <si>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</si>
  <si>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</si>
  <si>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</si>
  <si>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</si>
  <si>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</si>
  <si>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</si>
  <si>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</si>
  <si>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</si>
  <si>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</si>
  <si>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</si>
  <si>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</si>
  <si>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</si>
  <si>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</si>
  <si>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</si>
  <si>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</si>
  <si>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</si>
  <si>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</si>
  <si>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</si>
  <si>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</si>
  <si>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</si>
  <si>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</si>
  <si>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</si>
  <si>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</si>
  <si>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</si>
  <si>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</si>
  <si>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</si>
  <si>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</si>
  <si>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</si>
  <si>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</si>
  <si>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</si>
  <si>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</si>
  <si>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</si>
  <si>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</si>
  <si>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</si>
  <si>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</si>
  <si>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</si>
  <si>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</si>
  <si>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</si>
  <si>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</si>
  <si>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</si>
  <si>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</si>
  <si>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</si>
  <si>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</si>
  <si>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</si>
  <si>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</si>
  <si>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</si>
  <si>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</si>
  <si>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</si>
  <si>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</si>
  <si>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</si>
  <si>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</si>
  <si>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</si>
  <si>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</si>
  <si>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</si>
  <si>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</si>
  <si>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</si>
  <si>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</si>
  <si>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</si>
  <si>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</si>
  <si>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</si>
  <si>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</si>
  <si>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</si>
  <si>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</si>
  <si>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</si>
  <si>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</si>
  <si>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</si>
  <si>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</si>
  <si>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</si>
  <si>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</si>
  <si>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</si>
  <si>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</si>
  <si>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</si>
  <si>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</si>
  <si>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</si>
  <si>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</si>
  <si>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</si>
  <si>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</si>
  <si>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</si>
  <si>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</si>
  <si>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</si>
  <si>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</si>
  <si>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</si>
  <si>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</si>
  <si>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</si>
  <si>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</si>
  <si>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</si>
  <si>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</si>
  <si>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</si>
  <si>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</si>
  <si>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</si>
  <si>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</si>
  <si>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</si>
  <si>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</si>
  <si>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</si>
  <si>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</si>
  <si>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</si>
  <si>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</si>
  <si>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</si>
  <si>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</si>
  <si>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</si>
  <si>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</si>
  <si>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</si>
  <si>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</si>
  <si>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</si>
  <si>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</si>
  <si>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</si>
  <si>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</si>
  <si>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</si>
  <si>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</si>
  <si>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</si>
  <si>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</si>
  <si>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</si>
  <si>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</si>
  <si>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</si>
  <si>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</si>
  <si>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</si>
  <si>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</si>
  <si>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</si>
  <si>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</si>
  <si>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</si>
  <si>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</si>
  <si>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</si>
  <si>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</si>
  <si>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</si>
  <si>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</si>
  <si>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</si>
  <si>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</si>
  <si>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</si>
  <si>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</si>
  <si>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</si>
  <si>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</si>
  <si>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</si>
  <si>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</si>
  <si>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</si>
  <si>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</si>
  <si>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</si>
  <si>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</si>
  <si>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</si>
  <si>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</si>
  <si>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</si>
  <si>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</si>
  <si>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</si>
  <si>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</si>
  <si>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</si>
  <si>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</si>
  <si>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</si>
  <si>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</si>
  <si>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</si>
  <si>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</si>
  <si>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</si>
  <si>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</si>
  <si>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</si>
  <si>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</si>
  <si>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</si>
  <si>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</si>
  <si>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</si>
  <si>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</si>
  <si>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</si>
  <si>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</si>
  <si>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</si>
  <si>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</si>
  <si>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</si>
  <si>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</si>
  <si>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</si>
  <si>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</si>
  <si>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</si>
  <si>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</si>
  <si>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</si>
  <si>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</si>
  <si>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</si>
  <si>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</si>
  <si>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</si>
  <si>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</si>
  <si>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</si>
  <si>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</si>
  <si>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</si>
  <si>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</si>
  <si>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</si>
  <si>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</si>
  <si>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</si>
  <si>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</si>
  <si>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</si>
  <si>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</si>
  <si>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</si>
  <si>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</si>
  <si>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</si>
  <si>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</si>
  <si>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</si>
  <si>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</si>
  <si>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</si>
  <si>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</si>
  <si>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</si>
  <si>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</si>
  <si>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</si>
  <si>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</si>
  <si>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</si>
  <si>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</si>
  <si>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</si>
  <si>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</si>
  <si>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</si>
  <si>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</si>
  <si>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</si>
  <si>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</si>
  <si>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</si>
  <si>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</si>
  <si>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</si>
  <si>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</si>
  <si>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</si>
  <si>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</si>
  <si>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</si>
  <si>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</si>
  <si>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</si>
  <si>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</si>
  <si>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</si>
  <si>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</si>
  <si>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</si>
  <si>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</si>
  <si>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</si>
  <si>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</si>
  <si>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</si>
  <si>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</si>
  <si>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</si>
  <si>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</si>
  <si>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</si>
  <si>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</si>
  <si>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</si>
  <si>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</si>
  <si>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</si>
  <si>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</si>
  <si>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</si>
  <si>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</si>
  <si>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</si>
  <si>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</si>
  <si>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</si>
  <si>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</si>
  <si>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</si>
  <si>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</si>
  <si>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</si>
  <si>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</si>
  <si>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</si>
  <si>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</si>
  <si>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</si>
  <si>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</si>
  <si>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</si>
  <si>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</si>
  <si>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</si>
  <si>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</si>
  <si>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</si>
  <si>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</si>
  <si>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</si>
  <si>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</si>
  <si>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</si>
  <si>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</si>
  <si>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</si>
  <si>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</si>
  <si>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</si>
  <si>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</si>
  <si>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</si>
  <si>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</si>
  <si>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</si>
  <si>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</si>
  <si>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</si>
  <si>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</si>
  <si>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</si>
  <si>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</si>
  <si>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</si>
  <si>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</si>
  <si>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</si>
  <si>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</si>
  <si>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</si>
  <si>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</si>
  <si>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</si>
  <si>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</si>
  <si>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</si>
  <si>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</si>
  <si>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</si>
  <si>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</si>
  <si>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</si>
  <si>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</si>
  <si>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</si>
  <si>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</si>
  <si>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</si>
  <si>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</si>
  <si>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</si>
  <si>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</si>
  <si>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</si>
  <si>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</si>
  <si>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</si>
  <si>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</si>
  <si>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</si>
  <si>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</si>
  <si>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</si>
  <si>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</si>
  <si>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</si>
  <si>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</si>
  <si>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</si>
  <si>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</si>
  <si>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</si>
  <si>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</si>
  <si>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</si>
  <si>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</si>
  <si>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</si>
  <si>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</si>
  <si>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</si>
  <si>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</si>
  <si>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</si>
  <si>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</si>
  <si>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</si>
  <si>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</si>
  <si>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</si>
  <si>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</si>
  <si>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</si>
  <si>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</si>
  <si>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</si>
  <si>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</si>
  <si>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</si>
  <si>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</si>
  <si>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</si>
  <si>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</si>
  <si>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</si>
  <si>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</si>
  <si>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</si>
  <si>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</si>
  <si>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</si>
  <si>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</si>
  <si>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</si>
  <si>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</si>
  <si>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</si>
  <si>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</si>
  <si>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</si>
  <si>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</si>
  <si>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</si>
  <si>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</si>
  <si>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</si>
  <si>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</si>
  <si>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</si>
  <si>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</si>
  <si>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</si>
  <si>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</si>
  <si>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</si>
  <si>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</si>
  <si>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</si>
  <si>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</si>
  <si>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</si>
  <si>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</si>
  <si>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</si>
  <si>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</si>
  <si>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</si>
  <si>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</si>
  <si>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</si>
  <si>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</si>
  <si>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</si>
  <si>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</si>
  <si>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</si>
  <si>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</si>
  <si>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</si>
  <si>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</si>
  <si>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</si>
  <si>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</si>
  <si>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</si>
  <si>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</si>
  <si>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</si>
  <si>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</si>
  <si>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</si>
  <si>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</si>
  <si>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</si>
  <si>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</si>
  <si>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</si>
  <si>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</si>
  <si>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</si>
  <si>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</si>
  <si>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</si>
  <si>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</si>
  <si>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</si>
  <si>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</si>
  <si>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</si>
  <si>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</si>
  <si>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</si>
  <si>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</si>
  <si>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</si>
  <si>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</si>
  <si>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</si>
  <si>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</si>
  <si>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</si>
  <si>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</si>
  <si>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</si>
  <si>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</si>
  <si>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</si>
  <si>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</si>
  <si>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</si>
  <si>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</si>
  <si>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</si>
  <si>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</si>
  <si>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</si>
  <si>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</si>
  <si>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</si>
  <si>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</si>
  <si>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</si>
  <si>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</si>
  <si>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</si>
  <si>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</si>
  <si>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</si>
  <si>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</si>
  <si>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</si>
  <si>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</si>
  <si>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</si>
  <si>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</si>
  <si>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</si>
  <si>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</si>
  <si>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</si>
  <si>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</si>
  <si>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</si>
  <si>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</si>
  <si>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</si>
  <si>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</si>
  <si>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</si>
  <si>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</si>
  <si>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</si>
  <si>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</si>
  <si>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</si>
  <si>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</si>
  <si>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</si>
  <si>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</si>
  <si>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</si>
  <si>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</si>
  <si>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</si>
  <si>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</si>
  <si>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</si>
  <si>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</si>
  <si>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</si>
  <si>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</si>
  <si>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</si>
  <si>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</si>
  <si>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</si>
  <si>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</si>
  <si>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</si>
  <si>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</si>
  <si>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</si>
  <si>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</si>
  <si>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</si>
  <si>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</si>
  <si>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</si>
  <si>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</si>
  <si>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</si>
  <si>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</si>
  <si>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</si>
  <si>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</si>
  <si>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</si>
  <si>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</si>
  <si>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</si>
  <si>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</si>
  <si>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</si>
  <si>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</si>
  <si>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</si>
  <si>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</si>
  <si>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</si>
  <si>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</si>
  <si>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</si>
  <si>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</si>
  <si>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</si>
  <si>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</si>
  <si>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</si>
  <si>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</si>
  <si>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</si>
  <si>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</si>
  <si>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</si>
  <si>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</si>
  <si>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</si>
  <si>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</si>
  <si>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</si>
  <si>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</si>
  <si>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</si>
  <si>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</si>
  <si>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</si>
  <si>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</si>
  <si>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</si>
  <si>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</si>
  <si>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</si>
  <si>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</si>
  <si>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</si>
  <si>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</si>
  <si>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</si>
  <si>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</si>
  <si>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</si>
  <si>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</si>
  <si>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</si>
  <si>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</si>
  <si>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</si>
  <si>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</si>
  <si>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</si>
  <si>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</si>
  <si>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</si>
  <si>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</si>
  <si>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</si>
  <si>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</si>
  <si>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</si>
  <si>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</si>
  <si>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</si>
  <si>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</si>
  <si>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</si>
  <si>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</si>
  <si>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</si>
  <si>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</si>
  <si>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</si>
  <si>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</si>
  <si>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</si>
  <si>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</si>
  <si>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</si>
  <si>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</si>
  <si>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</si>
  <si>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</si>
  <si>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</si>
  <si>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</si>
  <si>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</si>
  <si>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</si>
  <si>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</si>
  <si>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</si>
  <si>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</si>
  <si>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</si>
  <si>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</si>
  <si>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</si>
  <si>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</si>
  <si>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</si>
  <si>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</si>
  <si>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</si>
  <si>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</si>
  <si>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</si>
  <si>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</si>
  <si>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</si>
  <si>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</si>
  <si>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</si>
  <si>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</si>
  <si>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</si>
  <si>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</si>
  <si>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</si>
  <si>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</si>
  <si>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</si>
  <si>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</si>
  <si>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</si>
  <si>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</si>
  <si>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</si>
  <si>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</si>
  <si>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</si>
  <si>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</si>
  <si>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</si>
  <si>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</si>
  <si>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</si>
  <si>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</si>
  <si>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</si>
  <si>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</si>
  <si>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</si>
  <si>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</si>
  <si>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</si>
  <si>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</si>
  <si>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</si>
  <si>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</si>
  <si>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</si>
  <si>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</si>
  <si>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</si>
  <si>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</si>
  <si>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</si>
  <si>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</si>
  <si>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</si>
  <si>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</si>
  <si>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</si>
  <si>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</si>
  <si>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</si>
  <si>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</si>
  <si>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</si>
  <si>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</si>
  <si>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</si>
  <si>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</si>
  <si>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</si>
  <si>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</si>
  <si>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</si>
  <si>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</si>
  <si>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</si>
  <si>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</si>
  <si>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</si>
  <si>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</si>
  <si>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</si>
  <si>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</si>
  <si>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</si>
  <si>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</si>
  <si>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</si>
  <si>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</si>
  <si>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</si>
  <si>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</si>
  <si>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</si>
  <si>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</si>
  <si>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</si>
  <si>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</si>
  <si>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</si>
  <si>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</si>
  <si>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</si>
  <si>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</si>
  <si>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</si>
  <si>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</si>
  <si>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</si>
  <si>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</si>
  <si>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</si>
  <si>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</si>
  <si>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</si>
  <si>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</si>
  <si>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</si>
  <si>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</si>
  <si>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</si>
  <si>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</si>
  <si>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</si>
  <si>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</si>
  <si>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</si>
  <si>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</si>
  <si>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</si>
  <si>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</si>
  <si>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</si>
  <si>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</si>
  <si>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</si>
  <si>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</si>
  <si>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</si>
  <si>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</si>
  <si>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</si>
  <si>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</si>
  <si>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</si>
  <si>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</si>
  <si>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</si>
  <si>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</si>
  <si>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</si>
  <si>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</si>
  <si>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</si>
  <si>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</si>
  <si>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</si>
  <si>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</si>
  <si>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</si>
  <si>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</si>
  <si>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</si>
  <si>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</si>
  <si>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</si>
  <si>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</si>
  <si>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</si>
  <si>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</si>
  <si>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</si>
  <si>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</si>
  <si>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</si>
  <si>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</si>
  <si>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</si>
  <si>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</si>
  <si>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</si>
  <si>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</si>
  <si>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</si>
  <si>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</si>
  <si>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</si>
  <si>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</si>
  <si>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</si>
  <si>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</si>
  <si>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</si>
  <si>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</si>
  <si>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</si>
  <si>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</si>
  <si>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</si>
  <si>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</si>
  <si>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</si>
  <si>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</si>
  <si>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</si>
  <si>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</si>
  <si>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</si>
  <si>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</si>
  <si>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</si>
  <si>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</si>
  <si>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</si>
  <si>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</si>
  <si>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</si>
  <si>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</si>
  <si>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</si>
  <si>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</si>
  <si>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</si>
  <si>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</si>
  <si>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</si>
  <si>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</si>
  <si>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</si>
  <si>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</si>
  <si>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</si>
  <si>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</si>
  <si>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</si>
  <si>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</si>
  <si>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</si>
  <si>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</si>
  <si>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</si>
  <si>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</si>
  <si>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</si>
  <si>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</si>
  <si>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</si>
  <si>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</si>
  <si>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</si>
  <si>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</si>
  <si>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</si>
  <si>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</si>
  <si>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</si>
  <si>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</si>
  <si>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</si>
  <si>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</si>
  <si>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</si>
  <si>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</si>
  <si>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</si>
  <si>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</si>
  <si>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</si>
  <si>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</si>
  <si>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</si>
  <si>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</si>
  <si>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</si>
  <si>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</si>
  <si>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</si>
  <si>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</si>
  <si>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</si>
  <si>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</si>
  <si>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</si>
  <si>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</si>
  <si>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</si>
  <si>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</si>
  <si>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</si>
  <si>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</si>
  <si>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</si>
  <si>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</si>
  <si>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</si>
  <si>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</si>
  <si>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</si>
  <si>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</si>
  <si>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</si>
  <si>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</si>
  <si>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</si>
  <si>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</si>
  <si>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</si>
  <si>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</si>
  <si>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</si>
  <si>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</si>
  <si>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</si>
  <si>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</si>
  <si>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</si>
  <si>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</si>
  <si>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</si>
  <si>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</si>
  <si>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</si>
  <si>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</si>
  <si>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</si>
  <si>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</si>
  <si>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</si>
  <si>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</si>
  <si>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</si>
  <si>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</si>
  <si>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</si>
  <si>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</si>
  <si>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</si>
  <si>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</si>
  <si>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</si>
  <si>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</si>
  <si>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</si>
  <si>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</si>
  <si>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</si>
  <si>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</si>
  <si>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</si>
  <si>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</si>
  <si>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</si>
  <si>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</si>
  <si>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</si>
  <si>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</si>
  <si>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</si>
  <si>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</si>
  <si>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</si>
  <si>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</si>
  <si>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</si>
  <si>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</si>
  <si>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</si>
  <si>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</si>
  <si>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</si>
  <si>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</si>
  <si>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</si>
  <si>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</si>
  <si>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</si>
  <si>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</si>
  <si>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</si>
  <si>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</si>
  <si>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</si>
  <si>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</si>
  <si>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</si>
  <si>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</si>
  <si>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</si>
  <si>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</si>
  <si>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</si>
  <si>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</si>
  <si>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</si>
  <si>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</si>
  <si>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</si>
  <si>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</si>
  <si>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</si>
  <si>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</si>
  <si>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</si>
  <si>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</si>
  <si>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</si>
  <si>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</si>
  <si>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</si>
  <si>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</si>
  <si>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</si>
  <si>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</si>
  <si>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</si>
  <si>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</si>
  <si>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</si>
  <si>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</si>
  <si>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</si>
  <si>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</si>
  <si>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</si>
  <si>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</si>
  <si>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</si>
  <si>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</si>
  <si>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</si>
  <si>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</si>
  <si>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</si>
  <si>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</si>
  <si>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</si>
  <si>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</si>
  <si>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</si>
  <si>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</si>
  <si>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</si>
  <si>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</si>
  <si>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</si>
  <si>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</si>
  <si>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</si>
  <si>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</si>
  <si>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</si>
  <si>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</si>
  <si>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</si>
  <si>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</si>
  <si>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</si>
  <si>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</si>
  <si>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</si>
  <si>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</si>
  <si>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</si>
  <si>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</si>
  <si>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</si>
  <si>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</si>
  <si>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</si>
  <si>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</si>
  <si>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</si>
  <si>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</si>
  <si>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</si>
  <si>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</si>
  <si>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</si>
  <si>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</si>
  <si>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</si>
  <si>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</si>
  <si>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</si>
  <si>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</si>
  <si>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</si>
  <si>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</si>
  <si>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</si>
  <si>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</si>
  <si>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</si>
  <si>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</si>
  <si>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</si>
  <si>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</si>
  <si>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</si>
  <si>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</si>
  <si>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</si>
  <si>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</si>
  <si>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</si>
  <si>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</si>
  <si>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</si>
  <si>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</si>
  <si>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</si>
  <si>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</si>
  <si>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</si>
  <si>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</si>
  <si>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</si>
  <si>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</si>
  <si>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</si>
  <si>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</si>
  <si>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</si>
  <si>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</si>
  <si>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</si>
  <si>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</si>
  <si>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</si>
  <si>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</si>
  <si>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</si>
  <si>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</si>
  <si>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</si>
  <si>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</si>
  <si>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</si>
  <si>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</si>
  <si>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</si>
  <si>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</si>
  <si>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</si>
  <si>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</si>
  <si>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</si>
  <si>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</si>
  <si>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</si>
  <si>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</si>
  <si>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</si>
  <si>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</si>
  <si>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</si>
  <si>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</si>
  <si>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</si>
  <si>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</si>
  <si>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</si>
  <si>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</si>
  <si>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</si>
  <si>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</si>
  <si>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</si>
  <si>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</si>
  <si>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</si>
  <si>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</si>
  <si>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</si>
  <si>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</si>
  <si>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</si>
  <si>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</si>
  <si>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</si>
  <si>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</si>
  <si>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</si>
  <si>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</si>
  <si>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</si>
  <si>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</si>
  <si>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</si>
  <si>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</si>
  <si>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</si>
  <si>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</si>
  <si>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</si>
  <si>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</si>
  <si>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</si>
  <si>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</si>
  <si>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</si>
  <si>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</si>
  <si>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</si>
  <si>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</si>
  <si>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</si>
  <si>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</si>
  <si>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</si>
  <si>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</si>
  <si>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</si>
  <si>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</si>
  <si>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</si>
  <si>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</si>
  <si>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</si>
  <si>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</si>
  <si>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</si>
  <si>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</si>
  <si>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</si>
  <si>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</si>
  <si>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</si>
  <si>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</si>
  <si>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</si>
  <si>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</si>
  <si>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</si>
  <si>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</si>
  <si>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</si>
  <si>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</si>
  <si>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</si>
  <si>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</si>
  <si>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</si>
  <si>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</si>
  <si>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</si>
  <si>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</si>
  <si>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</si>
  <si>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</si>
  <si>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</si>
  <si>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</si>
  <si>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</si>
  <si>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</si>
  <si>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</si>
  <si>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</si>
  <si>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</si>
  <si>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</si>
  <si>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</si>
  <si>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</si>
  <si>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</si>
  <si>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</si>
  <si>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</si>
  <si>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</si>
  <si>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</si>
  <si>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</si>
  <si>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</si>
  <si>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</si>
  <si>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</si>
  <si>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</si>
  <si>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</si>
  <si>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</si>
  <si>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</si>
  <si>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</si>
  <si>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</si>
  <si>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</si>
  <si>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</si>
  <si>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</si>
  <si>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</si>
  <si>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</si>
  <si>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</si>
  <si>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</si>
  <si>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</si>
  <si>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</si>
  <si>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</si>
  <si>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</si>
  <si>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</si>
  <si>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</si>
  <si>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</si>
  <si>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</si>
  <si>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</si>
  <si>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</si>
  <si>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</si>
  <si>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</si>
  <si>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</si>
  <si>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</si>
  <si>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</si>
  <si>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</si>
  <si>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</si>
  <si>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</si>
  <si>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</si>
  <si>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</si>
  <si>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</si>
  <si>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</si>
  <si>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</si>
  <si>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</si>
  <si>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</si>
  <si>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</si>
  <si>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</si>
  <si>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</si>
  <si>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</si>
  <si>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</si>
  <si>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</si>
  <si>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</si>
  <si>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</si>
  <si>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</si>
  <si>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</si>
  <si>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</si>
  <si>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</si>
  <si>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</si>
  <si>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</si>
  <si>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</si>
  <si>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</si>
  <si>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</si>
  <si>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</si>
  <si>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</si>
  <si>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</si>
  <si>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</si>
  <si>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</si>
  <si>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</si>
  <si>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</si>
  <si>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</si>
  <si>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</si>
  <si>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</si>
  <si>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</si>
  <si>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</si>
  <si>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</si>
  <si>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</si>
  <si>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</si>
  <si>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</si>
  <si>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</si>
  <si>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</si>
  <si>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</si>
  <si>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</si>
  <si>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</si>
  <si>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</si>
  <si>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</si>
  <si>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</si>
  <si>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</si>
  <si>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</si>
  <si>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</si>
  <si>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</si>
  <si>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</si>
  <si>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</si>
  <si>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</si>
  <si>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</si>
  <si>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</si>
  <si>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</si>
  <si>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</si>
  <si>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</si>
  <si>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</si>
  <si>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</si>
  <si>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</si>
  <si>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</si>
  <si>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</si>
  <si>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</si>
  <si>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</si>
  <si>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</si>
  <si>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</si>
  <si>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</si>
  <si>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</si>
  <si>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</si>
  <si>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</si>
  <si>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</si>
  <si>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</si>
  <si>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</si>
  <si>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</si>
  <si>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</si>
  <si>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</si>
  <si>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</si>
  <si>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</si>
  <si>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</si>
  <si>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</si>
  <si>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</si>
  <si>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</si>
  <si>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</si>
  <si>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</si>
  <si>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</si>
  <si>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</si>
  <si>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</si>
  <si>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</si>
  <si>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</si>
  <si>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</si>
  <si>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</si>
  <si>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</si>
  <si>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</si>
  <si>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</si>
  <si>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</si>
  <si>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</si>
  <si>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</si>
  <si>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</si>
  <si>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</si>
  <si>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</si>
  <si>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</si>
  <si>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</si>
  <si>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</si>
  <si>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</si>
  <si>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</si>
  <si>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</si>
  <si>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</si>
  <si>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</si>
  <si>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</si>
  <si>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</si>
  <si>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</si>
  <si>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</si>
  <si>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</si>
  <si>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</si>
  <si>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</si>
  <si>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</si>
  <si>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</si>
  <si>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</si>
  <si>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</si>
  <si>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</si>
  <si>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</si>
  <si>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</si>
  <si>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</si>
  <si>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</si>
  <si>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</si>
  <si>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</si>
  <si>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</si>
  <si>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</si>
  <si>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</si>
  <si>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</si>
  <si>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</si>
  <si>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</si>
  <si>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</si>
  <si>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</si>
  <si>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</si>
  <si>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</si>
  <si>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</si>
  <si>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</si>
  <si>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</si>
  <si>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</si>
  <si>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</si>
  <si>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</si>
  <si>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</si>
  <si>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</si>
  <si>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</si>
  <si>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</si>
  <si>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</si>
  <si>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</si>
  <si>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</si>
  <si>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</si>
  <si>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</si>
  <si>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</si>
  <si>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</si>
  <si>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</si>
  <si>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</si>
  <si>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</si>
  <si>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</si>
  <si>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</si>
  <si>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</si>
  <si>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</si>
  <si>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</si>
  <si>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</si>
  <si>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</si>
  <si>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</si>
  <si>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</si>
  <si>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</si>
  <si>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</si>
  <si>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</si>
  <si>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</si>
  <si>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</si>
  <si>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</si>
  <si>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</si>
  <si>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</si>
  <si>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</si>
  <si>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</si>
  <si>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</si>
  <si>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</si>
  <si>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</si>
  <si>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</si>
  <si>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</si>
  <si>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</si>
  <si>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</si>
  <si>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</si>
  <si>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</si>
  <si>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</si>
  <si>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</si>
  <si>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</si>
  <si>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</si>
  <si>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</si>
  <si>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</si>
  <si>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</si>
  <si>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</si>
  <si>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</si>
  <si>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</si>
  <si>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</si>
  <si>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</si>
  <si>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</si>
  <si>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</si>
  <si>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</si>
  <si>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</si>
  <si>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</si>
  <si>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</si>
  <si>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</si>
  <si>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</si>
  <si>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</si>
  <si>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</si>
  <si>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</si>
  <si>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</si>
  <si>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</si>
  <si>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</si>
  <si>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</si>
  <si>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</si>
  <si>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</si>
  <si>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</si>
  <si>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</si>
  <si>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</si>
  <si>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</si>
  <si>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</si>
  <si>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</si>
  <si>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</si>
  <si>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</si>
  <si>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</si>
  <si>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</si>
  <si>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</si>
  <si>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</si>
  <si>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</si>
  <si>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</si>
  <si>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</si>
  <si>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</si>
  <si>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</si>
  <si>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</si>
  <si>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</si>
  <si>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</si>
  <si>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</si>
  <si>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</si>
  <si>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</si>
  <si>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</si>
  <si>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</si>
  <si>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</si>
  <si>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</si>
  <si>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</si>
  <si>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</si>
  <si>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</si>
  <si>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</si>
  <si>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</si>
  <si>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</si>
  <si>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</si>
  <si>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</si>
  <si>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</si>
  <si>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</si>
  <si>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</si>
  <si>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</si>
  <si>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</si>
  <si>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</si>
  <si>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</si>
  <si>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</si>
  <si>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</si>
  <si>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</si>
  <si>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</si>
  <si>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</si>
  <si>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</si>
  <si>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</si>
  <si>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</si>
  <si>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</si>
  <si>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</si>
  <si>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</si>
  <si>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</si>
  <si>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</si>
  <si>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</si>
  <si>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</si>
  <si>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</si>
  <si>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</si>
  <si>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</si>
  <si>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</si>
  <si>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</si>
  <si>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</si>
  <si>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</si>
  <si>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</si>
  <si>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</si>
  <si>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</si>
  <si>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</si>
  <si>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</si>
  <si>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</si>
  <si>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</si>
  <si>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</si>
  <si>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</si>
  <si>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</si>
  <si>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</si>
  <si>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</si>
  <si>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</si>
  <si>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</si>
  <si>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</si>
  <si>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</si>
  <si>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</si>
  <si>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</si>
  <si>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</si>
  <si>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</si>
  <si>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</si>
  <si>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</si>
  <si>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</si>
  <si>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</si>
  <si>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</si>
  <si>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</si>
  <si>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</si>
  <si>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</si>
  <si>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</si>
  <si>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</si>
  <si>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</si>
  <si>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</si>
  <si>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</si>
  <si>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</si>
  <si>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</si>
  <si>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</si>
  <si>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</si>
  <si>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</si>
  <si>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</si>
  <si>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</si>
  <si>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</si>
  <si>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</si>
  <si>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</si>
  <si>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</si>
  <si>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</si>
  <si>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</si>
  <si>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</si>
  <si>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</si>
  <si>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</si>
  <si>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</si>
  <si>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</si>
  <si>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</si>
  <si>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</si>
  <si>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</si>
  <si>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</si>
  <si>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</si>
  <si>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</si>
  <si>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</si>
  <si>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</si>
  <si>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</si>
  <si>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</si>
  <si>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</si>
  <si>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</si>
  <si>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</si>
  <si>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</si>
  <si>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</si>
  <si>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</si>
  <si>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</si>
  <si>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</si>
  <si>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</si>
  <si>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</si>
  <si>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</si>
  <si>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</si>
  <si>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</si>
  <si>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</si>
  <si>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</si>
  <si>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</si>
  <si>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</si>
  <si>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</si>
  <si>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</si>
  <si>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</si>
  <si>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</si>
  <si>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</si>
  <si>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</si>
  <si>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</si>
  <si>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</si>
  <si>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</si>
  <si>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</si>
  <si>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</si>
  <si>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</si>
  <si>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</si>
  <si>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</si>
  <si>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</si>
  <si>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</si>
  <si>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</si>
  <si>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</si>
  <si>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</si>
  <si>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</si>
  <si>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</si>
  <si>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</si>
  <si>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</si>
  <si>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</si>
  <si>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</si>
  <si>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</si>
  <si>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</si>
  <si>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</si>
  <si>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</si>
  <si>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</si>
  <si>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</si>
  <si>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</si>
  <si>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</si>
  <si>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</si>
  <si>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</si>
  <si>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</si>
  <si>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</si>
  <si>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</si>
  <si>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</si>
  <si>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</si>
  <si>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</si>
  <si>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</si>
  <si>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</si>
  <si>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</si>
  <si>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</si>
  <si>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</si>
  <si>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</si>
  <si>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</si>
  <si>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</si>
  <si>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</si>
  <si>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</si>
  <si>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</si>
  <si>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</si>
  <si>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</si>
  <si>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</si>
  <si>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</si>
  <si>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</si>
  <si>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</si>
  <si>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</si>
  <si>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</si>
  <si>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</si>
  <si>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</si>
  <si>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</si>
  <si>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</si>
  <si>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</si>
  <si>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</si>
  <si>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</si>
  <si>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</si>
  <si>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</si>
  <si>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</si>
  <si>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</si>
  <si>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</si>
  <si>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</si>
  <si>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</si>
  <si>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</si>
  <si>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</si>
  <si>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</si>
  <si>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</si>
  <si>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</si>
  <si>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</si>
  <si>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</si>
  <si>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</si>
  <si>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</si>
  <si>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</si>
  <si>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</si>
  <si>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</si>
  <si>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</si>
  <si>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</si>
  <si>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</si>
  <si>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</si>
  <si>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</si>
  <si>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</si>
  <si>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</si>
  <si>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</si>
  <si>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</si>
  <si>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</si>
  <si>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</si>
  <si>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</si>
  <si>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</si>
  <si>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</si>
  <si>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</si>
  <si>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</si>
  <si>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</si>
  <si>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</si>
  <si>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</si>
  <si>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</si>
  <si>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</si>
  <si>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</si>
  <si>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</si>
  <si>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</si>
  <si>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</si>
  <si>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</si>
  <si>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</si>
  <si>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</si>
  <si>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</si>
  <si>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</si>
  <si>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</si>
  <si>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</si>
  <si>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</si>
  <si>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</si>
  <si>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</si>
  <si>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</si>
  <si>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</si>
  <si>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</si>
  <si>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</si>
  <si>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</si>
  <si>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</si>
  <si>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</si>
  <si>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</si>
  <si>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</si>
  <si>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</si>
  <si>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</si>
  <si>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</si>
  <si>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</si>
  <si>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</si>
  <si>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</si>
  <si>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</si>
  <si>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</si>
  <si>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</si>
  <si>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</si>
  <si>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</si>
  <si>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</si>
  <si>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</si>
  <si>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</si>
  <si>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</si>
  <si>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</si>
  <si>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</si>
  <si>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</si>
  <si>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</si>
  <si>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</si>
  <si>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</si>
  <si>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</si>
  <si>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</si>
  <si>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</si>
  <si>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</si>
  <si>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</si>
  <si>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</si>
  <si>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</si>
  <si>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</si>
  <si>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</si>
  <si>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</si>
  <si>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</si>
  <si>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</si>
  <si>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</si>
  <si>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</si>
  <si>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</si>
  <si>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</si>
  <si>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</si>
  <si>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</si>
  <si>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</si>
  <si>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</si>
  <si>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</si>
  <si>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</si>
  <si>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</si>
  <si>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</si>
  <si>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</si>
  <si>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</si>
  <si>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</si>
  <si>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</si>
  <si>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</si>
  <si>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</si>
  <si>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</si>
  <si>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</si>
  <si>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</si>
  <si>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</si>
  <si>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</si>
  <si>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</si>
  <si>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</si>
  <si>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</si>
  <si>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</si>
  <si>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</si>
  <si>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</si>
  <si>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</si>
  <si>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</si>
  <si>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</si>
  <si>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</si>
  <si>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</si>
  <si>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</si>
  <si>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</si>
  <si>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</si>
  <si>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</si>
  <si>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</si>
  <si>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</si>
  <si>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</si>
  <si>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</si>
  <si>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</si>
  <si>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</si>
  <si>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</si>
  <si>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</si>
  <si>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</si>
  <si>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</si>
  <si>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</si>
  <si>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</si>
  <si>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</si>
  <si>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</si>
  <si>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</si>
  <si>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</si>
  <si>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</si>
  <si>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</si>
  <si>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</si>
  <si>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</si>
  <si>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</si>
  <si>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</si>
  <si>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</si>
  <si>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</si>
  <si>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</si>
  <si>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</si>
  <si>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</si>
  <si>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</si>
  <si>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</si>
  <si>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</si>
  <si>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</si>
  <si>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</si>
  <si>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</si>
  <si>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</si>
  <si>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</si>
  <si>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</si>
  <si>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</si>
  <si>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</si>
  <si>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</si>
  <si>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</si>
  <si>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</si>
  <si>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</si>
  <si>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</si>
  <si>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</si>
  <si>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</si>
  <si>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</si>
  <si>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</si>
  <si>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</si>
  <si>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</si>
  <si>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</si>
  <si>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</si>
  <si>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</si>
  <si>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</si>
  <si>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</si>
  <si>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</si>
  <si>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</si>
  <si>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</si>
  <si>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</si>
  <si>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</si>
  <si>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</si>
  <si>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</si>
  <si>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</si>
  <si>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</si>
  <si>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</si>
  <si>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</si>
  <si>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</si>
  <si>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</si>
  <si>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</si>
  <si>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</si>
  <si>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</si>
  <si>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</si>
  <si>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</si>
  <si>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</si>
  <si>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</si>
  <si>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</si>
  <si>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</si>
  <si>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</si>
  <si>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</si>
  <si>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</si>
  <si>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</si>
  <si>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</si>
  <si>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</si>
  <si>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</si>
  <si>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</si>
  <si>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</si>
  <si>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</si>
  <si>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</si>
  <si>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</si>
  <si>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</si>
  <si>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</si>
  <si>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</si>
  <si>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</si>
  <si>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</si>
  <si>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</si>
  <si>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</si>
  <si>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</si>
  <si>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</si>
  <si>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</si>
  <si>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</si>
  <si>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</si>
  <si>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</si>
  <si>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</si>
  <si>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</si>
  <si>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</si>
  <si>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</si>
  <si>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</si>
  <si>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</si>
  <si>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</si>
  <si>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</si>
  <si>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</si>
  <si>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</si>
  <si>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</si>
  <si>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</si>
  <si>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</si>
  <si>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</si>
  <si>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</si>
  <si>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</si>
  <si>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</si>
  <si>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</si>
  <si>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</si>
  <si>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</si>
  <si>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</si>
  <si>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</si>
  <si>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</si>
  <si>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</si>
  <si>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</si>
  <si>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</si>
  <si>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</si>
  <si>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</si>
  <si>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</si>
  <si>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</si>
  <si>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</si>
  <si>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</si>
  <si>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</si>
  <si>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</si>
  <si>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</si>
  <si>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</si>
  <si>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</si>
  <si>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</si>
  <si>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</si>
  <si>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</si>
  <si>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</si>
  <si>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</si>
  <si>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</si>
  <si>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</si>
  <si>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</si>
  <si>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</si>
  <si>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</si>
  <si>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</si>
  <si>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</si>
  <si>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</si>
  <si>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</si>
  <si>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</si>
  <si>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</si>
  <si>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</si>
  <si>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</si>
  <si>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</si>
  <si>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</si>
  <si>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</si>
  <si>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</si>
  <si>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</si>
  <si>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</si>
  <si>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</si>
  <si>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</si>
  <si>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</si>
  <si>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</si>
  <si>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</si>
  <si>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</si>
  <si>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</si>
  <si>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</si>
  <si>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</si>
  <si>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</si>
  <si>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</si>
  <si>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</si>
  <si>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</si>
  <si>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</si>
  <si>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</si>
  <si>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</si>
  <si>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</si>
  <si>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</si>
  <si>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</si>
  <si>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</si>
  <si>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</si>
  <si>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</si>
  <si>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</si>
  <si>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</si>
  <si>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</si>
  <si>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</si>
  <si>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</si>
  <si>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</si>
  <si>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</si>
  <si>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</si>
  <si>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</si>
  <si>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</si>
  <si>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</si>
  <si>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</si>
  <si>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</si>
  <si>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</si>
  <si>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</si>
  <si>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</si>
  <si>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</si>
  <si>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</si>
  <si>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</si>
  <si>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</si>
  <si>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</si>
  <si>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</si>
  <si>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</si>
  <si>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</si>
  <si>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</si>
  <si>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</si>
  <si>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</si>
  <si>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</si>
  <si>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</si>
  <si>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</si>
  <si>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</si>
  <si>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</si>
  <si>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</si>
  <si>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</si>
  <si>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</si>
  <si>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</si>
  <si>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</si>
  <si>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</si>
  <si>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</si>
  <si>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</si>
  <si>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</si>
  <si>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</si>
  <si>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</si>
  <si>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</si>
  <si>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</si>
  <si>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</si>
  <si>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</si>
  <si>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</si>
  <si>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</si>
  <si>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</si>
  <si>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</si>
  <si>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</si>
  <si>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</si>
  <si>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</si>
  <si>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</si>
  <si>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</si>
  <si>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</si>
  <si>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</si>
  <si>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</si>
  <si>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</si>
  <si>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</si>
  <si>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</si>
  <si>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</si>
  <si>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</si>
  <si>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</si>
  <si>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</si>
  <si>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</si>
  <si>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</si>
  <si>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</si>
  <si>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</si>
  <si>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</si>
  <si>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</si>
  <si>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</si>
  <si>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</si>
  <si>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</si>
  <si>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</si>
  <si>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</si>
  <si>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</si>
  <si>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</si>
  <si>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</si>
  <si>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</si>
  <si>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</si>
  <si>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</si>
  <si>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</si>
  <si>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</si>
  <si>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</si>
  <si>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</si>
  <si>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</si>
  <si>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</si>
  <si>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</si>
  <si>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</si>
  <si>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</si>
  <si>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</si>
  <si>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</si>
  <si>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</si>
  <si>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</si>
  <si>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</si>
  <si>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</si>
  <si>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</si>
  <si>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</si>
  <si>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</si>
  <si>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</si>
  <si>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</si>
  <si>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</si>
  <si>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</si>
  <si>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</si>
  <si>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</si>
  <si>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</si>
  <si>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</si>
  <si>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</si>
  <si>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</si>
  <si>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</si>
  <si>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</si>
  <si>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</si>
  <si>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</si>
  <si>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</si>
  <si>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</si>
  <si>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</si>
  <si>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</si>
  <si>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</si>
  <si>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</si>
  <si>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</si>
  <si>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</si>
  <si>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</si>
  <si>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</si>
  <si>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</si>
  <si>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</si>
  <si>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</si>
  <si>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</si>
  <si>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</si>
  <si>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</si>
  <si>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</si>
  <si>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</si>
  <si>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</si>
  <si>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</si>
  <si>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</si>
  <si>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</si>
  <si>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</si>
  <si>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</si>
  <si>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</si>
  <si>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</si>
  <si>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</si>
  <si>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</si>
  <si>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</si>
  <si>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</si>
  <si>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</si>
  <si>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</si>
  <si>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</si>
  <si>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</si>
  <si>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</si>
  <si>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</si>
  <si>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</si>
  <si>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</si>
  <si>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</si>
  <si>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</si>
  <si>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</si>
  <si>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</si>
  <si>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</si>
  <si>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</si>
  <si>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</si>
  <si>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</si>
  <si>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</si>
  <si>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</si>
  <si>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</si>
  <si>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</si>
  <si>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</si>
  <si>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</si>
  <si>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</si>
  <si>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</si>
  <si>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</si>
  <si>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</si>
  <si>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</si>
  <si>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</si>
  <si>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</si>
  <si>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</si>
  <si>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</si>
  <si>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</si>
  <si>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</si>
  <si>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</si>
  <si>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</si>
  <si>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</si>
  <si>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</si>
  <si>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</si>
  <si>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</si>
  <si>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</si>
  <si>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</si>
  <si>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</si>
  <si>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</si>
  <si>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</si>
  <si>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</si>
  <si>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</si>
  <si>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</si>
  <si>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</si>
  <si>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</si>
  <si>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</si>
  <si>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</si>
  <si>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</si>
  <si>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</si>
  <si>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</si>
  <si>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</si>
  <si>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</si>
  <si>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</si>
  <si>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</si>
  <si>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</si>
  <si>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</si>
  <si>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</si>
  <si>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</si>
  <si>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</si>
  <si>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</si>
  <si>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</si>
  <si>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</si>
  <si>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</si>
  <si>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</si>
  <si>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</si>
  <si>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</si>
  <si>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</si>
  <si>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</si>
  <si>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</si>
  <si>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</si>
  <si>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</si>
  <si>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</si>
  <si>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</si>
  <si>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</si>
  <si>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</si>
  <si>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</si>
  <si>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</si>
  <si>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</si>
  <si>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</si>
  <si>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</si>
  <si>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</si>
  <si>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</si>
  <si>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</si>
  <si>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</si>
  <si>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</si>
  <si>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</si>
  <si>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</si>
  <si>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</si>
  <si>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</si>
  <si>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</si>
  <si>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</si>
  <si>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</si>
  <si>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</si>
  <si>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</si>
  <si>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</si>
  <si>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</si>
  <si>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</si>
  <si>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</si>
  <si>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</si>
  <si>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</si>
  <si>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</si>
  <si>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</si>
  <si>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</si>
  <si>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</si>
  <si>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</si>
  <si>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</si>
  <si>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</si>
  <si>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</si>
  <si>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</si>
  <si>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</si>
  <si>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</si>
  <si>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</si>
  <si>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</si>
  <si>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</si>
  <si>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</si>
  <si>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</si>
  <si>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</si>
  <si>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</si>
  <si>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</si>
  <si>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</si>
  <si>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</si>
  <si>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</si>
  <si>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</si>
  <si>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</si>
  <si>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</si>
  <si>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</si>
  <si>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</si>
  <si>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</si>
  <si>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</si>
  <si>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</si>
  <si>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</si>
  <si>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</si>
  <si>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</si>
  <si>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</si>
  <si>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</si>
  <si>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</si>
  <si>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</si>
  <si>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</si>
  <si>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</si>
  <si>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</si>
  <si>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</si>
  <si>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</si>
  <si>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</si>
  <si>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</si>
  <si>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</si>
  <si>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</si>
  <si>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</si>
  <si>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</si>
  <si>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</si>
  <si>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</si>
  <si>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</si>
  <si>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</si>
  <si>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</si>
  <si>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</si>
  <si>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</si>
  <si>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</si>
  <si>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</si>
  <si>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</si>
  <si>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</si>
  <si>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</si>
  <si>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</si>
  <si>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</si>
  <si>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</si>
  <si>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</si>
  <si>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</si>
  <si>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</si>
  <si>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</si>
  <si>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</si>
  <si>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</si>
  <si>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</si>
  <si>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</si>
  <si>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</si>
  <si>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</si>
  <si>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</si>
  <si>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</si>
  <si>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</si>
  <si>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</si>
  <si>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</si>
  <si>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</si>
  <si>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</si>
  <si>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</si>
  <si>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</si>
  <si>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</si>
  <si>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</si>
  <si>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</si>
  <si>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</si>
  <si>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</si>
  <si>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</si>
  <si>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</si>
  <si>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</si>
  <si>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</si>
  <si>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</si>
  <si>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</si>
  <si>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</si>
  <si>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</si>
  <si>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</si>
  <si>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</si>
  <si>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</si>
  <si>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</si>
  <si>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</si>
  <si>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</si>
  <si>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</si>
  <si>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</si>
  <si>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</si>
  <si>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</si>
  <si>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</si>
  <si>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</si>
  <si>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</si>
  <si>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</si>
  <si>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</si>
  <si>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</si>
  <si>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</si>
  <si>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</si>
  <si>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</si>
  <si>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</si>
  <si>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</si>
  <si>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</si>
  <si>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</si>
  <si>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</si>
  <si>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</si>
  <si>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</si>
  <si>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</si>
  <si>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</si>
  <si>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</si>
  <si>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</si>
  <si>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</si>
  <si>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</si>
  <si>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</si>
  <si>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</si>
  <si>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</si>
  <si>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</si>
  <si>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</si>
  <si>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</si>
  <si>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</si>
  <si>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</si>
  <si>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</si>
  <si>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</si>
  <si>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</si>
  <si>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</si>
  <si>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</si>
  <si>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</si>
  <si>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</si>
  <si>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</si>
  <si>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</si>
  <si>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</si>
  <si>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</si>
  <si>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</si>
  <si>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</si>
  <si>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</si>
  <si>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</si>
  <si>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</si>
  <si>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</si>
  <si>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</si>
  <si>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</si>
  <si>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</si>
  <si>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</si>
  <si>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</si>
  <si>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</si>
  <si>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</si>
  <si>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</si>
  <si>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</si>
  <si>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</si>
  <si>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</si>
  <si>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</si>
  <si>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</si>
  <si>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</si>
  <si>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</si>
  <si>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</si>
  <si>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</si>
  <si>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</si>
  <si>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</si>
  <si>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</si>
  <si>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</si>
  <si>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</si>
  <si>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</si>
  <si>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</si>
  <si>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</si>
  <si>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</si>
  <si>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</si>
  <si>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</si>
  <si>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</si>
  <si>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</si>
  <si>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</si>
  <si>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</si>
  <si>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</si>
  <si>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</si>
  <si>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</si>
  <si>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</si>
  <si>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</si>
  <si>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</si>
  <si>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</si>
  <si>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</si>
  <si>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</si>
  <si>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</si>
  <si>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</si>
  <si>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</si>
  <si>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</si>
  <si>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</si>
  <si>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</si>
  <si>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</si>
  <si>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</si>
  <si>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</si>
  <si>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</si>
  <si>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</si>
  <si>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</si>
  <si>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</si>
  <si>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</si>
  <si>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</si>
  <si>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</si>
  <si>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</si>
  <si>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</si>
  <si>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</si>
  <si>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</si>
  <si>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</si>
  <si>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</si>
  <si>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</si>
  <si>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</si>
  <si>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</si>
  <si>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</si>
  <si>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</si>
  <si>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</si>
  <si>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</si>
  <si>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</si>
  <si>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</si>
  <si>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</si>
  <si>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</si>
  <si>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</si>
  <si>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</si>
  <si>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</si>
  <si>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</si>
  <si>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</si>
  <si>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</si>
  <si>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</si>
  <si>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</si>
  <si>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</si>
  <si>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</si>
  <si>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</si>
  <si>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</si>
  <si>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</si>
  <si>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</si>
  <si>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</si>
  <si>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</si>
  <si>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</si>
  <si>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</si>
  <si>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</si>
  <si>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</si>
  <si>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</si>
  <si>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</si>
  <si>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</si>
  <si>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</si>
  <si>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</si>
  <si>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</si>
  <si>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</si>
  <si>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</si>
  <si>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</si>
  <si>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</si>
  <si>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</si>
  <si>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</si>
  <si>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</si>
  <si>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</si>
  <si>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</si>
  <si>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</si>
  <si>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</si>
  <si>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</si>
  <si>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</si>
  <si>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</si>
  <si>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</si>
  <si>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</si>
  <si>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</si>
  <si>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</si>
  <si>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</si>
  <si>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</si>
  <si>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</si>
  <si>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</si>
  <si>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</si>
  <si>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</si>
  <si>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</si>
  <si>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</si>
  <si>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</si>
  <si>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</si>
  <si>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</si>
  <si>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</si>
  <si>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</si>
  <si>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</si>
  <si>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</si>
  <si>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</si>
  <si>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</si>
  <si>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</si>
  <si>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</si>
  <si>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</si>
  <si>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</si>
  <si>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</si>
  <si>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</si>
  <si>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</si>
  <si>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</si>
  <si>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</si>
  <si>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</si>
  <si>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</si>
  <si>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</si>
  <si>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</si>
  <si>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</si>
  <si>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</si>
  <si>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</si>
  <si>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</si>
  <si>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</si>
  <si>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</si>
  <si>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</si>
  <si>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</si>
  <si>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</si>
  <si>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</si>
  <si>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</si>
  <si>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</si>
  <si>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</si>
  <si>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</si>
  <si>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</si>
  <si>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</si>
  <si>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</si>
  <si>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</si>
  <si>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</si>
  <si>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</si>
  <si>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</si>
  <si>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</si>
  <si>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</si>
  <si>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</si>
  <si>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</si>
  <si>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</si>
  <si>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</si>
  <si>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</si>
  <si>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</si>
  <si>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</si>
  <si>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</si>
  <si>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</si>
  <si>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</si>
  <si>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</si>
  <si>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</si>
  <si>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</si>
  <si>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</si>
  <si>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</si>
  <si>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</si>
  <si>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</si>
  <si>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</si>
  <si>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</si>
  <si>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</si>
  <si>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</si>
  <si>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</si>
  <si>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</si>
  <si>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</si>
  <si>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</si>
  <si>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</si>
  <si>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</si>
  <si>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</si>
  <si>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</si>
  <si>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</si>
  <si>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</si>
  <si>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</si>
  <si>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</si>
  <si>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</si>
  <si>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</si>
  <si>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</si>
  <si>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</si>
  <si>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</si>
  <si>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</si>
  <si>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</si>
  <si>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</si>
  <si>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</si>
  <si>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</si>
  <si>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</si>
  <si>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</si>
  <si>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</si>
  <si>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</si>
  <si>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</si>
  <si>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</si>
  <si>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</si>
  <si>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</si>
  <si>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</si>
  <si>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</si>
  <si>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</si>
  <si>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</si>
  <si>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</si>
  <si>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</si>
  <si>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</si>
  <si>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</si>
  <si>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</si>
  <si>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</si>
  <si>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</si>
  <si>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</si>
  <si>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</si>
  <si>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</si>
  <si>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</si>
  <si>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</si>
  <si>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</si>
  <si>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</si>
  <si>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</si>
  <si>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</si>
  <si>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</si>
  <si>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</si>
  <si>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</si>
  <si>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</si>
  <si>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</si>
  <si>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</si>
  <si>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</si>
  <si>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</si>
  <si>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</si>
  <si>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</si>
  <si>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</si>
  <si>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</si>
  <si>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</si>
  <si>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</si>
  <si>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</si>
  <si>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</si>
  <si>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</si>
  <si>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</si>
  <si>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</si>
  <si>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</si>
  <si>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</si>
  <si>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</si>
  <si>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</si>
  <si>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</si>
  <si>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</si>
  <si>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</si>
  <si>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</si>
  <si>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</si>
  <si>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</si>
  <si>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</si>
  <si>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</si>
  <si>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</si>
  <si>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</si>
  <si>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</si>
  <si>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</si>
  <si>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</si>
  <si>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</si>
  <si>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</si>
  <si>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</si>
  <si>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</si>
  <si>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</si>
  <si>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</si>
  <si>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</si>
  <si>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</si>
  <si>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</si>
  <si>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</si>
  <si>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</si>
  <si>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</si>
  <si>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</si>
  <si>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</si>
  <si>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</si>
  <si>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</si>
  <si>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</si>
  <si>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</si>
  <si>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</si>
  <si>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</si>
  <si>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</si>
  <si>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</si>
  <si>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</si>
  <si>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</si>
  <si>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</si>
  <si>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</si>
  <si>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</si>
  <si>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</si>
  <si>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</si>
  <si>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</si>
  <si>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</si>
  <si>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</si>
  <si>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</si>
  <si>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</si>
  <si>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</si>
  <si>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</si>
  <si>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</si>
  <si>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</si>
  <si>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</si>
  <si>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</si>
  <si>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</si>
  <si>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</si>
  <si>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</si>
  <si>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</si>
  <si>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</si>
  <si>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</si>
  <si>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</si>
  <si>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</si>
  <si>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</si>
  <si>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</si>
  <si>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</si>
  <si>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</si>
  <si>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</si>
  <si>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</si>
  <si>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</si>
  <si>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</si>
  <si>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</si>
  <si>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</si>
  <si>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</si>
  <si>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</si>
  <si>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</si>
  <si>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</si>
  <si>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</si>
  <si>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</si>
  <si>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</si>
  <si>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</si>
  <si>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</si>
  <si>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</si>
  <si>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</si>
  <si>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</si>
  <si>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</si>
  <si>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</si>
  <si>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</si>
  <si>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</si>
  <si>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</si>
  <si>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</si>
  <si>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</si>
  <si>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</si>
  <si>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</si>
  <si>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</si>
  <si>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</si>
  <si>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</si>
  <si>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</si>
  <si>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</si>
  <si>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</si>
  <si>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</si>
  <si>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</si>
  <si>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</si>
  <si>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</si>
  <si>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</si>
  <si>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</si>
  <si>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</si>
  <si>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</si>
  <si>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</si>
  <si>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</si>
  <si>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</si>
  <si>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</si>
  <si>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</si>
  <si>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</si>
  <si>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</si>
  <si>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</si>
  <si>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</si>
  <si>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</si>
  <si>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</si>
  <si>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</si>
  <si>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</si>
  <si>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</si>
  <si>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</si>
  <si>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</si>
  <si>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</si>
  <si>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</si>
  <si>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</si>
  <si>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</si>
  <si>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</si>
  <si>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</si>
  <si>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</si>
  <si>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</si>
  <si>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</si>
  <si>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</si>
  <si>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</si>
  <si>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</si>
  <si>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</si>
  <si>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</si>
  <si>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</si>
  <si>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شفن 1374 تا 724.8</t>
  </si>
  <si>
    <t>زاگرس 6974 تا 5393.6</t>
  </si>
  <si>
    <t>لوتوس 1439 تا 205</t>
  </si>
  <si>
    <t>لوتوس</t>
  </si>
  <si>
    <t>خرید پارس با توجه به سبد محصول و فروش داخلی و خارجی</t>
  </si>
  <si>
    <t>خرید شاراک مثل پارس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</si>
  <si>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</si>
  <si>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</si>
  <si>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</si>
  <si>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</si>
  <si>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</si>
  <si>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</si>
  <si>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</si>
  <si>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</si>
  <si>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</si>
  <si>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</si>
  <si>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</si>
  <si>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</si>
  <si>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</si>
  <si>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</si>
  <si>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</si>
  <si>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</si>
  <si>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</si>
  <si>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</si>
  <si>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 xml:space="preserve">7/11/1397 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</si>
  <si>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</si>
  <si>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</si>
  <si>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</si>
  <si>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</si>
  <si>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</si>
  <si>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تعداد سکه باقیمانده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</si>
  <si>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</si>
  <si>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</si>
  <si>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</si>
  <si>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</si>
  <si>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</si>
  <si>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</si>
  <si>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هدف (با سکه 4.3)</t>
  </si>
  <si>
    <t>22+50+4</t>
  </si>
  <si>
    <t>9/11/1397</t>
  </si>
  <si>
    <t>فروش 3 عدد سکه</t>
  </si>
  <si>
    <t>تعداد 26 عدد سکه در بورس علی و 50 سکه در بورس مریم متعلق به صندوق نیست 7/11/97</t>
  </si>
  <si>
    <t>زاگرس 5000 ، شخارک 4000، شفن 4500، وغدیر 170 ، شسپا 2750،  پارس 3200، ماکزیمم قیمت خرید 2/11/97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</si>
</sst>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4594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2" workbookViewId="0">
      <selection activeCell="E49" sqref="E49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4660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4693</v>
      </c>
      <c r="B5" s="18">
        <v>-200000</v>
      </c>
      <c r="C5" s="18">
        <v>0</v>
      </c>
      <c r="D5" s="113">
        <f t="shared" si="0"/>
        <v>-200000</v>
      </c>
      <c r="E5" s="20" t="s">
        <v>4690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4710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4716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4716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4716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4716</v>
      </c>
      <c r="B10" s="18">
        <v>-51400</v>
      </c>
      <c r="C10" s="18">
        <v>0</v>
      </c>
      <c r="D10" s="113">
        <f t="shared" si="0"/>
        <v>-51400</v>
      </c>
      <c r="E10" s="19" t="s">
        <v>4724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4728</v>
      </c>
      <c r="B11" s="18">
        <v>-2250000</v>
      </c>
      <c r="C11" s="18">
        <v>0</v>
      </c>
      <c r="D11" s="113">
        <f t="shared" si="0"/>
        <v>-2250000</v>
      </c>
      <c r="E11" s="19" t="s">
        <v>3771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4728</v>
      </c>
      <c r="B12" s="18">
        <v>700000</v>
      </c>
      <c r="C12" s="18">
        <v>0</v>
      </c>
      <c r="D12" s="113">
        <f t="shared" si="0"/>
        <v>700000</v>
      </c>
      <c r="E12" s="20" t="s">
        <v>3892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0</v>
      </c>
      <c r="C31" s="169">
        <v>0</v>
      </c>
      <c r="D31" s="169">
        <f t="shared" si="0"/>
        <v>0</v>
      </c>
      <c r="E31" s="16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804305</v>
      </c>
      <c r="C32" s="113">
        <f>SUM(C2:C31)</f>
        <v>0</v>
      </c>
      <c r="D32" s="113">
        <f>SUM(D2:D31)</f>
        <v>804305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19891107</v>
      </c>
      <c r="H33" s="18">
        <f>SUM(H2:H31)</f>
        <v>0</v>
      </c>
      <c r="I33" s="18">
        <f>SUM(I2:I31)</f>
        <v>19891107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4691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4720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4721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4723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4731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2304066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4" sqref="F3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1024</v>
      </c>
      <c r="H2" s="36">
        <f>IF(B2&gt;0,1,0)</f>
        <v>1</v>
      </c>
      <c r="I2" s="11">
        <f>B2*(G2-H2)</f>
        <v>17084100</v>
      </c>
      <c r="J2" s="53">
        <f>C2*(G2-H2)</f>
        <v>17084100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1023</v>
      </c>
      <c r="H3" s="36">
        <f t="shared" ref="H3:H66" si="2">IF(B3&gt;0,1,0)</f>
        <v>1</v>
      </c>
      <c r="I3" s="11">
        <f t="shared" ref="I3:I66" si="3">B3*(G3-H3)</f>
        <v>20337800000</v>
      </c>
      <c r="J3" s="53">
        <f t="shared" ref="J3:J66" si="4">C3*(G3-H3)</f>
        <v>11637514000</v>
      </c>
      <c r="K3" s="53">
        <f t="shared" ref="K3:K66" si="5">D3*(G3-H3)</f>
        <v>8700286000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1023</v>
      </c>
      <c r="H4" s="36">
        <f t="shared" si="2"/>
        <v>0</v>
      </c>
      <c r="I4" s="11">
        <f t="shared" si="3"/>
        <v>0</v>
      </c>
      <c r="J4" s="53">
        <f t="shared" si="4"/>
        <v>8695500</v>
      </c>
      <c r="K4" s="53">
        <f t="shared" si="5"/>
        <v>-8695500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1021</v>
      </c>
      <c r="H5" s="36">
        <f t="shared" si="2"/>
        <v>1</v>
      </c>
      <c r="I5" s="11">
        <f t="shared" si="3"/>
        <v>2040000000</v>
      </c>
      <c r="J5" s="53">
        <f t="shared" si="4"/>
        <v>0</v>
      </c>
      <c r="K5" s="53">
        <f t="shared" si="5"/>
        <v>2040000000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1014</v>
      </c>
      <c r="H6" s="36">
        <f t="shared" si="2"/>
        <v>0</v>
      </c>
      <c r="I6" s="11">
        <f t="shared" si="3"/>
        <v>-5070000</v>
      </c>
      <c r="J6" s="53">
        <f t="shared" si="4"/>
        <v>0</v>
      </c>
      <c r="K6" s="53">
        <f t="shared" si="5"/>
        <v>-5070000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1010</v>
      </c>
      <c r="H7" s="36">
        <f t="shared" si="2"/>
        <v>0</v>
      </c>
      <c r="I7" s="11">
        <f t="shared" si="3"/>
        <v>-1212505000</v>
      </c>
      <c r="J7" s="53">
        <f t="shared" si="4"/>
        <v>0</v>
      </c>
      <c r="K7" s="53">
        <f t="shared" si="5"/>
        <v>-1212505000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1009</v>
      </c>
      <c r="H8" s="36">
        <f t="shared" si="2"/>
        <v>0</v>
      </c>
      <c r="I8" s="11">
        <f t="shared" si="3"/>
        <v>-201800000</v>
      </c>
      <c r="J8" s="53">
        <f t="shared" si="4"/>
        <v>0</v>
      </c>
      <c r="K8" s="53">
        <f t="shared" si="5"/>
        <v>-201800000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1007</v>
      </c>
      <c r="H9" s="36">
        <f t="shared" si="2"/>
        <v>0</v>
      </c>
      <c r="I9" s="11">
        <f t="shared" si="3"/>
        <v>-710438500</v>
      </c>
      <c r="J9" s="53">
        <f t="shared" si="4"/>
        <v>0</v>
      </c>
      <c r="K9" s="53">
        <f t="shared" si="5"/>
        <v>-710438500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998</v>
      </c>
      <c r="H10" s="36">
        <f t="shared" si="2"/>
        <v>0</v>
      </c>
      <c r="I10" s="11">
        <f t="shared" si="3"/>
        <v>-199600000</v>
      </c>
      <c r="J10" s="53">
        <f t="shared" si="4"/>
        <v>0</v>
      </c>
      <c r="K10" s="53">
        <f t="shared" si="5"/>
        <v>-199600000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998</v>
      </c>
      <c r="H11" s="36">
        <f t="shared" si="2"/>
        <v>1</v>
      </c>
      <c r="I11" s="11">
        <f t="shared" si="3"/>
        <v>997000000</v>
      </c>
      <c r="J11" s="53">
        <f t="shared" si="4"/>
        <v>0</v>
      </c>
      <c r="K11" s="53">
        <f t="shared" si="5"/>
        <v>997000000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994</v>
      </c>
      <c r="H12" s="36">
        <f t="shared" si="2"/>
        <v>0</v>
      </c>
      <c r="I12" s="11">
        <f t="shared" si="3"/>
        <v>-298200000</v>
      </c>
      <c r="J12" s="53">
        <f t="shared" si="4"/>
        <v>0</v>
      </c>
      <c r="K12" s="53">
        <f t="shared" si="5"/>
        <v>-298200000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989</v>
      </c>
      <c r="H13" s="36">
        <f t="shared" si="2"/>
        <v>0</v>
      </c>
      <c r="I13" s="11">
        <f t="shared" si="3"/>
        <v>-61318000</v>
      </c>
      <c r="J13" s="53">
        <f t="shared" si="4"/>
        <v>0</v>
      </c>
      <c r="K13" s="53">
        <f t="shared" si="5"/>
        <v>-61318000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989</v>
      </c>
      <c r="H14" s="36">
        <f t="shared" si="2"/>
        <v>1</v>
      </c>
      <c r="I14" s="11">
        <f t="shared" si="3"/>
        <v>1976000000</v>
      </c>
      <c r="J14" s="53">
        <f t="shared" si="4"/>
        <v>0</v>
      </c>
      <c r="K14" s="53">
        <f t="shared" si="5"/>
        <v>1976000000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988</v>
      </c>
      <c r="H15" s="36">
        <f t="shared" si="2"/>
        <v>1</v>
      </c>
      <c r="I15" s="11">
        <f t="shared" si="3"/>
        <v>1776600000</v>
      </c>
      <c r="J15" s="53">
        <f t="shared" si="4"/>
        <v>0</v>
      </c>
      <c r="K15" s="53">
        <f t="shared" si="5"/>
        <v>1776600000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988</v>
      </c>
      <c r="H16" s="36">
        <f t="shared" si="2"/>
        <v>0</v>
      </c>
      <c r="I16" s="11">
        <f t="shared" si="3"/>
        <v>-197600000</v>
      </c>
      <c r="J16" s="53">
        <f t="shared" si="4"/>
        <v>0</v>
      </c>
      <c r="K16" s="53">
        <f t="shared" si="5"/>
        <v>-197600000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984</v>
      </c>
      <c r="H17" s="36">
        <f t="shared" si="2"/>
        <v>0</v>
      </c>
      <c r="I17" s="11">
        <f t="shared" si="3"/>
        <v>-1968000000</v>
      </c>
      <c r="J17" s="53">
        <f t="shared" si="4"/>
        <v>0</v>
      </c>
      <c r="K17" s="53">
        <f t="shared" si="5"/>
        <v>-1968000000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983</v>
      </c>
      <c r="H18" s="36">
        <f t="shared" si="2"/>
        <v>0</v>
      </c>
      <c r="I18" s="11">
        <f t="shared" si="3"/>
        <v>-294900000</v>
      </c>
      <c r="J18" s="53">
        <f t="shared" si="4"/>
        <v>0</v>
      </c>
      <c r="K18" s="53">
        <f t="shared" si="5"/>
        <v>-294900000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982</v>
      </c>
      <c r="H19" s="36">
        <f t="shared" si="2"/>
        <v>0</v>
      </c>
      <c r="I19" s="11">
        <f t="shared" si="3"/>
        <v>-196400000</v>
      </c>
      <c r="J19" s="53">
        <f t="shared" si="4"/>
        <v>0</v>
      </c>
      <c r="K19" s="53">
        <f t="shared" si="5"/>
        <v>-196400000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980</v>
      </c>
      <c r="H20" s="36">
        <f t="shared" si="2"/>
        <v>1</v>
      </c>
      <c r="I20" s="11">
        <f t="shared" si="3"/>
        <v>265396131</v>
      </c>
      <c r="J20" s="53">
        <f t="shared" si="4"/>
        <v>144355508</v>
      </c>
      <c r="K20" s="53">
        <f t="shared" si="5"/>
        <v>121040623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978</v>
      </c>
      <c r="H21" s="36">
        <f t="shared" si="2"/>
        <v>0</v>
      </c>
      <c r="I21" s="11">
        <f t="shared" si="3"/>
        <v>-1472574600</v>
      </c>
      <c r="J21" s="53">
        <f t="shared" si="4"/>
        <v>0</v>
      </c>
      <c r="K21" s="53">
        <f t="shared" si="5"/>
        <v>-1472574600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975</v>
      </c>
      <c r="H22" s="36">
        <f t="shared" si="2"/>
        <v>1</v>
      </c>
      <c r="I22" s="11">
        <f t="shared" si="3"/>
        <v>2922000000</v>
      </c>
      <c r="J22" s="53">
        <f t="shared" si="4"/>
        <v>0</v>
      </c>
      <c r="K22" s="53">
        <f t="shared" si="5"/>
        <v>2922000000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974</v>
      </c>
      <c r="H23" s="36">
        <f t="shared" si="2"/>
        <v>1</v>
      </c>
      <c r="I23" s="11">
        <f t="shared" si="3"/>
        <v>973000000</v>
      </c>
      <c r="J23" s="53">
        <f t="shared" si="4"/>
        <v>0</v>
      </c>
      <c r="K23" s="53">
        <f t="shared" si="5"/>
        <v>973000000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973</v>
      </c>
      <c r="H24" s="36">
        <f t="shared" si="2"/>
        <v>0</v>
      </c>
      <c r="I24" s="11">
        <f t="shared" si="3"/>
        <v>-2919875700</v>
      </c>
      <c r="J24" s="53">
        <f t="shared" si="4"/>
        <v>0</v>
      </c>
      <c r="K24" s="53">
        <f t="shared" si="5"/>
        <v>-2919875700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958</v>
      </c>
      <c r="H25" s="36">
        <f t="shared" si="2"/>
        <v>1</v>
      </c>
      <c r="I25" s="11">
        <f t="shared" si="3"/>
        <v>1435500000</v>
      </c>
      <c r="J25" s="53">
        <f t="shared" si="4"/>
        <v>0</v>
      </c>
      <c r="K25" s="53">
        <f t="shared" si="5"/>
        <v>1435500000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950</v>
      </c>
      <c r="H26" s="36">
        <f t="shared" si="2"/>
        <v>0</v>
      </c>
      <c r="I26" s="11">
        <f t="shared" si="3"/>
        <v>-155800000</v>
      </c>
      <c r="J26" s="53">
        <f t="shared" si="4"/>
        <v>0</v>
      </c>
      <c r="K26" s="53">
        <f t="shared" si="5"/>
        <v>-155800000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949</v>
      </c>
      <c r="H27" s="36">
        <f t="shared" si="2"/>
        <v>1</v>
      </c>
      <c r="I27" s="11">
        <f t="shared" si="3"/>
        <v>189024564</v>
      </c>
      <c r="J27" s="53">
        <f t="shared" si="4"/>
        <v>101827524</v>
      </c>
      <c r="K27" s="53">
        <f t="shared" si="5"/>
        <v>87197040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947</v>
      </c>
      <c r="H28" s="36">
        <f t="shared" si="2"/>
        <v>0</v>
      </c>
      <c r="I28" s="11">
        <f t="shared" si="3"/>
        <v>-209287000</v>
      </c>
      <c r="J28" s="53">
        <f t="shared" si="4"/>
        <v>-209287000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947</v>
      </c>
      <c r="H29" s="36">
        <f t="shared" si="2"/>
        <v>0</v>
      </c>
      <c r="I29" s="11">
        <f t="shared" si="3"/>
        <v>-473973500</v>
      </c>
      <c r="J29" s="53">
        <f t="shared" si="4"/>
        <v>0</v>
      </c>
      <c r="K29" s="53">
        <f t="shared" si="5"/>
        <v>-473973500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947</v>
      </c>
      <c r="H30" s="36">
        <f t="shared" si="2"/>
        <v>0</v>
      </c>
      <c r="I30" s="11">
        <f t="shared" si="3"/>
        <v>-14205000000</v>
      </c>
      <c r="J30" s="53">
        <f t="shared" si="4"/>
        <v>-14205000000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930</v>
      </c>
      <c r="H31" s="36">
        <f t="shared" si="2"/>
        <v>0</v>
      </c>
      <c r="I31" s="11">
        <f t="shared" si="3"/>
        <v>-2800137000</v>
      </c>
      <c r="J31" s="53">
        <f t="shared" si="4"/>
        <v>0</v>
      </c>
      <c r="K31" s="53">
        <f t="shared" si="5"/>
        <v>-2800137000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928</v>
      </c>
      <c r="H32" s="36">
        <f t="shared" si="2"/>
        <v>0</v>
      </c>
      <c r="I32" s="11">
        <f t="shared" si="3"/>
        <v>-2789475200</v>
      </c>
      <c r="J32" s="53">
        <f t="shared" si="4"/>
        <v>0</v>
      </c>
      <c r="K32" s="53">
        <f t="shared" si="5"/>
        <v>-2789475200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927</v>
      </c>
      <c r="H33" s="36">
        <f t="shared" si="2"/>
        <v>0</v>
      </c>
      <c r="I33" s="11">
        <f t="shared" si="3"/>
        <v>-830128500</v>
      </c>
      <c r="J33" s="53">
        <f t="shared" si="4"/>
        <v>0</v>
      </c>
      <c r="K33" s="53">
        <f t="shared" si="5"/>
        <v>-830128500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927</v>
      </c>
      <c r="H34" s="36">
        <f t="shared" si="2"/>
        <v>0</v>
      </c>
      <c r="I34" s="11">
        <f t="shared" si="3"/>
        <v>0</v>
      </c>
      <c r="J34" s="53">
        <f t="shared" si="4"/>
        <v>927000000</v>
      </c>
      <c r="K34" s="53">
        <f t="shared" si="5"/>
        <v>-927000000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918</v>
      </c>
      <c r="H35" s="36">
        <f t="shared" si="2"/>
        <v>1</v>
      </c>
      <c r="I35" s="11">
        <f t="shared" si="3"/>
        <v>48116824</v>
      </c>
      <c r="J35" s="53">
        <f t="shared" si="4"/>
        <v>-19864971</v>
      </c>
      <c r="K35" s="53">
        <f t="shared" si="5"/>
        <v>67981795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918</v>
      </c>
      <c r="H36" s="36">
        <f t="shared" si="2"/>
        <v>0</v>
      </c>
      <c r="I36" s="11">
        <f t="shared" si="3"/>
        <v>0</v>
      </c>
      <c r="J36" s="53">
        <f t="shared" si="4"/>
        <v>19886634</v>
      </c>
      <c r="K36" s="53">
        <f t="shared" si="5"/>
        <v>-19886634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908</v>
      </c>
      <c r="H37" s="36">
        <f t="shared" si="2"/>
        <v>0</v>
      </c>
      <c r="I37" s="11">
        <f t="shared" si="3"/>
        <v>-49940000</v>
      </c>
      <c r="J37" s="53">
        <f t="shared" si="4"/>
        <v>0</v>
      </c>
      <c r="K37" s="53">
        <f t="shared" si="5"/>
        <v>-49940000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907</v>
      </c>
      <c r="H38" s="36">
        <f t="shared" si="2"/>
        <v>1</v>
      </c>
      <c r="I38" s="11">
        <f t="shared" si="3"/>
        <v>2718000000</v>
      </c>
      <c r="J38" s="53">
        <f t="shared" si="4"/>
        <v>2718000000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906</v>
      </c>
      <c r="H39" s="36">
        <f t="shared" si="2"/>
        <v>1</v>
      </c>
      <c r="I39" s="11">
        <f t="shared" si="3"/>
        <v>2262500000</v>
      </c>
      <c r="J39" s="53">
        <f t="shared" si="4"/>
        <v>2262500000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906</v>
      </c>
      <c r="H40" s="36">
        <f t="shared" si="2"/>
        <v>0</v>
      </c>
      <c r="I40" s="11">
        <f t="shared" si="3"/>
        <v>-45300000</v>
      </c>
      <c r="J40" s="53">
        <f t="shared" si="4"/>
        <v>0</v>
      </c>
      <c r="K40" s="53">
        <f t="shared" si="5"/>
        <v>-45300000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906</v>
      </c>
      <c r="H41" s="36">
        <f t="shared" si="2"/>
        <v>1</v>
      </c>
      <c r="I41" s="11">
        <f t="shared" si="3"/>
        <v>2715000000</v>
      </c>
      <c r="J41" s="53">
        <f t="shared" si="4"/>
        <v>0</v>
      </c>
      <c r="K41" s="53">
        <f t="shared" si="5"/>
        <v>2715000000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903</v>
      </c>
      <c r="H42" s="36">
        <f t="shared" si="2"/>
        <v>0</v>
      </c>
      <c r="I42" s="11">
        <f t="shared" si="3"/>
        <v>-80547600</v>
      </c>
      <c r="J42" s="53">
        <f t="shared" si="4"/>
        <v>0</v>
      </c>
      <c r="K42" s="53">
        <f t="shared" si="5"/>
        <v>-80547600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899</v>
      </c>
      <c r="H43" s="36">
        <f t="shared" si="2"/>
        <v>0</v>
      </c>
      <c r="I43" s="11">
        <f t="shared" si="3"/>
        <v>-179800000</v>
      </c>
      <c r="J43" s="53">
        <f t="shared" si="4"/>
        <v>0</v>
      </c>
      <c r="K43" s="53">
        <f t="shared" si="5"/>
        <v>-179800000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897</v>
      </c>
      <c r="H44" s="36">
        <f t="shared" si="2"/>
        <v>0</v>
      </c>
      <c r="I44" s="11">
        <f t="shared" si="3"/>
        <v>-179400000</v>
      </c>
      <c r="J44" s="53">
        <f t="shared" si="4"/>
        <v>0</v>
      </c>
      <c r="K44" s="53">
        <f t="shared" si="5"/>
        <v>-179400000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897</v>
      </c>
      <c r="H45" s="36">
        <f t="shared" si="2"/>
        <v>0</v>
      </c>
      <c r="I45" s="11">
        <f t="shared" si="3"/>
        <v>-502320000</v>
      </c>
      <c r="J45" s="53">
        <f t="shared" si="4"/>
        <v>0</v>
      </c>
      <c r="K45" s="53">
        <f t="shared" si="5"/>
        <v>-502320000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893</v>
      </c>
      <c r="H46" s="36">
        <f t="shared" si="2"/>
        <v>0</v>
      </c>
      <c r="I46" s="11">
        <f t="shared" si="3"/>
        <v>-630011500</v>
      </c>
      <c r="J46" s="53">
        <f t="shared" si="4"/>
        <v>0</v>
      </c>
      <c r="K46" s="53">
        <f t="shared" si="5"/>
        <v>-630011500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887</v>
      </c>
      <c r="H47" s="36">
        <f t="shared" si="2"/>
        <v>1</v>
      </c>
      <c r="I47" s="11">
        <f t="shared" si="3"/>
        <v>36506744</v>
      </c>
      <c r="J47" s="53">
        <f t="shared" si="4"/>
        <v>5947718</v>
      </c>
      <c r="K47" s="53">
        <f t="shared" si="5"/>
        <v>30559026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887</v>
      </c>
      <c r="H48" s="36">
        <f t="shared" si="2"/>
        <v>1</v>
      </c>
      <c r="I48" s="11">
        <f t="shared" si="3"/>
        <v>1510364200</v>
      </c>
      <c r="J48" s="53">
        <f t="shared" si="4"/>
        <v>0</v>
      </c>
      <c r="K48" s="53">
        <f t="shared" si="5"/>
        <v>1510364200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878</v>
      </c>
      <c r="H49" s="36">
        <f t="shared" si="2"/>
        <v>0</v>
      </c>
      <c r="I49" s="11">
        <f t="shared" si="3"/>
        <v>-136090000</v>
      </c>
      <c r="J49" s="53">
        <f t="shared" si="4"/>
        <v>0</v>
      </c>
      <c r="K49" s="53">
        <f t="shared" si="5"/>
        <v>-136090000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878</v>
      </c>
      <c r="H50" s="36">
        <f t="shared" si="2"/>
        <v>0</v>
      </c>
      <c r="I50" s="11">
        <f t="shared" si="3"/>
        <v>-121164000</v>
      </c>
      <c r="J50" s="53">
        <f t="shared" si="4"/>
        <v>0</v>
      </c>
      <c r="K50" s="53">
        <f t="shared" si="5"/>
        <v>-121164000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878</v>
      </c>
      <c r="H51" s="36">
        <f t="shared" si="2"/>
        <v>0</v>
      </c>
      <c r="I51" s="11">
        <f t="shared" si="3"/>
        <v>-649720000</v>
      </c>
      <c r="J51" s="53">
        <f t="shared" si="4"/>
        <v>0</v>
      </c>
      <c r="K51" s="53">
        <f t="shared" si="5"/>
        <v>-649720000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878</v>
      </c>
      <c r="H52" s="36">
        <f t="shared" si="2"/>
        <v>0</v>
      </c>
      <c r="I52" s="11">
        <f t="shared" si="3"/>
        <v>-175600000</v>
      </c>
      <c r="J52" s="53">
        <f t="shared" si="4"/>
        <v>0</v>
      </c>
      <c r="K52" s="53">
        <f t="shared" si="5"/>
        <v>-175600000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877</v>
      </c>
      <c r="H53" s="36">
        <f t="shared" si="2"/>
        <v>0</v>
      </c>
      <c r="I53" s="11">
        <f t="shared" si="3"/>
        <v>-925235000</v>
      </c>
      <c r="J53" s="53">
        <f t="shared" si="4"/>
        <v>0</v>
      </c>
      <c r="K53" s="53">
        <f t="shared" si="5"/>
        <v>-925235000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877</v>
      </c>
      <c r="H54" s="36">
        <f t="shared" si="2"/>
        <v>0</v>
      </c>
      <c r="I54" s="11">
        <f t="shared" si="3"/>
        <v>-175400000</v>
      </c>
      <c r="J54" s="53">
        <f t="shared" si="4"/>
        <v>0</v>
      </c>
      <c r="K54" s="53">
        <f t="shared" si="5"/>
        <v>-175400000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877</v>
      </c>
      <c r="H55" s="36">
        <f t="shared" si="2"/>
        <v>0</v>
      </c>
      <c r="I55" s="11">
        <f t="shared" si="3"/>
        <v>-877438500</v>
      </c>
      <c r="J55" s="53">
        <f t="shared" si="4"/>
        <v>0</v>
      </c>
      <c r="K55" s="53">
        <f t="shared" si="5"/>
        <v>-877438500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877</v>
      </c>
      <c r="H56" s="36">
        <f t="shared" si="2"/>
        <v>0</v>
      </c>
      <c r="I56" s="11">
        <f t="shared" si="3"/>
        <v>-33326000</v>
      </c>
      <c r="J56" s="53">
        <f t="shared" si="4"/>
        <v>0</v>
      </c>
      <c r="K56" s="53">
        <f t="shared" si="5"/>
        <v>-33326000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877</v>
      </c>
      <c r="H57" s="36">
        <f t="shared" si="2"/>
        <v>0</v>
      </c>
      <c r="I57" s="11">
        <f t="shared" si="3"/>
        <v>-92085000</v>
      </c>
      <c r="J57" s="53">
        <f t="shared" si="4"/>
        <v>0</v>
      </c>
      <c r="K57" s="53">
        <f t="shared" si="5"/>
        <v>-92085000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877</v>
      </c>
      <c r="H58" s="36">
        <f t="shared" si="2"/>
        <v>0</v>
      </c>
      <c r="I58" s="11">
        <f t="shared" si="3"/>
        <v>-52620000</v>
      </c>
      <c r="J58" s="53">
        <f t="shared" si="4"/>
        <v>0</v>
      </c>
      <c r="K58" s="53">
        <f t="shared" si="5"/>
        <v>-52620000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874</v>
      </c>
      <c r="H59" s="36">
        <f t="shared" si="2"/>
        <v>1</v>
      </c>
      <c r="I59" s="11">
        <f t="shared" si="3"/>
        <v>873000000</v>
      </c>
      <c r="J59" s="53">
        <f t="shared" si="4"/>
        <v>873000000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873</v>
      </c>
      <c r="H60" s="36">
        <f t="shared" si="2"/>
        <v>1</v>
      </c>
      <c r="I60" s="11">
        <f t="shared" si="3"/>
        <v>3052000000</v>
      </c>
      <c r="J60" s="53">
        <f t="shared" si="4"/>
        <v>3052000000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871</v>
      </c>
      <c r="H61" s="36">
        <f t="shared" si="2"/>
        <v>1</v>
      </c>
      <c r="I61" s="11">
        <f t="shared" si="3"/>
        <v>870000000</v>
      </c>
      <c r="J61" s="53">
        <f t="shared" si="4"/>
        <v>870000000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871</v>
      </c>
      <c r="H62" s="36">
        <f t="shared" si="2"/>
        <v>1</v>
      </c>
      <c r="I62" s="11">
        <f t="shared" si="3"/>
        <v>2610000000</v>
      </c>
      <c r="J62" s="53">
        <f t="shared" si="4"/>
        <v>2610000000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869</v>
      </c>
      <c r="H63" s="36">
        <f t="shared" si="2"/>
        <v>0</v>
      </c>
      <c r="I63" s="11">
        <f t="shared" si="3"/>
        <v>-173800000</v>
      </c>
      <c r="J63" s="53">
        <f t="shared" si="4"/>
        <v>0</v>
      </c>
      <c r="K63" s="53">
        <f t="shared" si="5"/>
        <v>-173800000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864</v>
      </c>
      <c r="H64" s="36">
        <f t="shared" si="2"/>
        <v>0</v>
      </c>
      <c r="I64" s="11">
        <f t="shared" si="3"/>
        <v>-43200000</v>
      </c>
      <c r="J64" s="53">
        <f t="shared" si="4"/>
        <v>0</v>
      </c>
      <c r="K64" s="53">
        <f t="shared" si="5"/>
        <v>-43200000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860</v>
      </c>
      <c r="H65" s="36">
        <f t="shared" si="2"/>
        <v>0</v>
      </c>
      <c r="I65" s="11">
        <f t="shared" si="3"/>
        <v>-172000000</v>
      </c>
      <c r="J65" s="53">
        <f t="shared" si="4"/>
        <v>0</v>
      </c>
      <c r="K65" s="53">
        <f t="shared" si="5"/>
        <v>-172000000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857</v>
      </c>
      <c r="H66" s="36">
        <f t="shared" si="2"/>
        <v>0</v>
      </c>
      <c r="I66" s="11">
        <f t="shared" si="3"/>
        <v>-145690000</v>
      </c>
      <c r="J66" s="53">
        <f t="shared" si="4"/>
        <v>0</v>
      </c>
      <c r="K66" s="53">
        <f t="shared" si="5"/>
        <v>-145690000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856</v>
      </c>
      <c r="H67" s="36">
        <f t="shared" ref="H67:H131" si="8">IF(B67&gt;0,1,0)</f>
        <v>1</v>
      </c>
      <c r="I67" s="11">
        <f t="shared" ref="I67:I119" si="9">B67*(G67-H67)</f>
        <v>78082875</v>
      </c>
      <c r="J67" s="53">
        <f t="shared" ref="J67:J131" si="10">C67*(G67-H67)</f>
        <v>56193165</v>
      </c>
      <c r="K67" s="53">
        <f t="shared" ref="K67:K131" si="11">D67*(G67-H67)</f>
        <v>21889710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838</v>
      </c>
      <c r="H68" s="36">
        <f t="shared" si="8"/>
        <v>0</v>
      </c>
      <c r="I68" s="11">
        <f t="shared" si="9"/>
        <v>-121510000</v>
      </c>
      <c r="J68" s="53">
        <f t="shared" si="10"/>
        <v>0</v>
      </c>
      <c r="K68" s="53">
        <f t="shared" si="11"/>
        <v>-121510000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831</v>
      </c>
      <c r="H69" s="36">
        <f t="shared" si="8"/>
        <v>1</v>
      </c>
      <c r="I69" s="11">
        <f t="shared" si="9"/>
        <v>813400000</v>
      </c>
      <c r="J69" s="53">
        <f t="shared" si="10"/>
        <v>0</v>
      </c>
      <c r="K69" s="53">
        <f t="shared" si="11"/>
        <v>813400000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828</v>
      </c>
      <c r="H70" s="36">
        <f t="shared" si="8"/>
        <v>0</v>
      </c>
      <c r="I70" s="11">
        <f t="shared" si="9"/>
        <v>-38088000</v>
      </c>
      <c r="J70" s="53">
        <f t="shared" si="10"/>
        <v>0</v>
      </c>
      <c r="K70" s="53">
        <f t="shared" si="11"/>
        <v>-38088000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826</v>
      </c>
      <c r="H71" s="36">
        <f t="shared" si="8"/>
        <v>1</v>
      </c>
      <c r="I71" s="11">
        <f t="shared" si="9"/>
        <v>95153850</v>
      </c>
      <c r="J71" s="53">
        <f t="shared" si="10"/>
        <v>85644900</v>
      </c>
      <c r="K71" s="53">
        <f t="shared" si="11"/>
        <v>9508950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825</v>
      </c>
      <c r="H72" s="36">
        <f t="shared" si="8"/>
        <v>0</v>
      </c>
      <c r="I72" s="11">
        <f t="shared" si="9"/>
        <v>-125374425</v>
      </c>
      <c r="J72" s="53">
        <f t="shared" si="10"/>
        <v>0</v>
      </c>
      <c r="K72" s="53">
        <f t="shared" si="11"/>
        <v>-125374425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824</v>
      </c>
      <c r="H73" s="36">
        <f t="shared" si="8"/>
        <v>0</v>
      </c>
      <c r="I73" s="11">
        <f t="shared" si="9"/>
        <v>-663732000</v>
      </c>
      <c r="J73" s="53">
        <f t="shared" si="10"/>
        <v>0</v>
      </c>
      <c r="K73" s="53">
        <f t="shared" si="11"/>
        <v>-663732000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817</v>
      </c>
      <c r="H74" s="36">
        <f t="shared" si="8"/>
        <v>1</v>
      </c>
      <c r="I74" s="11">
        <f t="shared" si="9"/>
        <v>5707920000</v>
      </c>
      <c r="J74" s="53">
        <f t="shared" si="10"/>
        <v>0</v>
      </c>
      <c r="K74" s="53">
        <f t="shared" si="11"/>
        <v>5707920000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816</v>
      </c>
      <c r="H75" s="36">
        <f t="shared" si="8"/>
        <v>1</v>
      </c>
      <c r="I75" s="11">
        <f t="shared" si="9"/>
        <v>2445000000</v>
      </c>
      <c r="J75" s="53">
        <f t="shared" si="10"/>
        <v>0</v>
      </c>
      <c r="K75" s="53">
        <f t="shared" si="11"/>
        <v>2445000000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814</v>
      </c>
      <c r="H76" s="36">
        <f t="shared" si="8"/>
        <v>1</v>
      </c>
      <c r="I76" s="11">
        <f t="shared" si="9"/>
        <v>2439000000</v>
      </c>
      <c r="J76" s="53">
        <f t="shared" si="10"/>
        <v>0</v>
      </c>
      <c r="K76" s="53">
        <f t="shared" si="11"/>
        <v>2439000000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813</v>
      </c>
      <c r="H77" s="36">
        <f t="shared" si="8"/>
        <v>1</v>
      </c>
      <c r="I77" s="11">
        <f t="shared" si="9"/>
        <v>2436000000</v>
      </c>
      <c r="J77" s="53">
        <f t="shared" si="10"/>
        <v>0</v>
      </c>
      <c r="K77" s="53">
        <f t="shared" si="11"/>
        <v>2436000000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812</v>
      </c>
      <c r="H78" s="36">
        <f t="shared" si="8"/>
        <v>0</v>
      </c>
      <c r="I78" s="11">
        <f t="shared" si="9"/>
        <v>-2598400000</v>
      </c>
      <c r="J78" s="53">
        <f t="shared" si="10"/>
        <v>-2598400000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811</v>
      </c>
      <c r="H79" s="36">
        <f t="shared" si="8"/>
        <v>0</v>
      </c>
      <c r="I79" s="11">
        <f t="shared" si="9"/>
        <v>-648800000</v>
      </c>
      <c r="J79" s="53">
        <f t="shared" si="10"/>
        <v>-648800000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810</v>
      </c>
      <c r="H80" s="36">
        <f t="shared" si="8"/>
        <v>0</v>
      </c>
      <c r="I80" s="11">
        <f t="shared" si="9"/>
        <v>-39198330</v>
      </c>
      <c r="J80" s="53">
        <f t="shared" si="10"/>
        <v>0</v>
      </c>
      <c r="K80" s="53">
        <f t="shared" si="11"/>
        <v>-39198330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809</v>
      </c>
      <c r="H81" s="36">
        <f t="shared" si="8"/>
        <v>0</v>
      </c>
      <c r="I81" s="11">
        <f t="shared" si="9"/>
        <v>-113260000</v>
      </c>
      <c r="J81" s="53">
        <f t="shared" si="10"/>
        <v>0</v>
      </c>
      <c r="K81" s="53">
        <f t="shared" si="11"/>
        <v>-113260000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808</v>
      </c>
      <c r="H82" s="36">
        <f t="shared" si="8"/>
        <v>0</v>
      </c>
      <c r="I82" s="11">
        <f t="shared" si="9"/>
        <v>-202000000</v>
      </c>
      <c r="J82" s="53">
        <f t="shared" si="10"/>
        <v>0</v>
      </c>
      <c r="K82" s="53">
        <f t="shared" si="11"/>
        <v>-202000000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807</v>
      </c>
      <c r="H83" s="36">
        <f t="shared" si="8"/>
        <v>0</v>
      </c>
      <c r="I83" s="11">
        <f t="shared" si="9"/>
        <v>-161400000</v>
      </c>
      <c r="J83" s="53">
        <f t="shared" si="10"/>
        <v>0</v>
      </c>
      <c r="K83" s="53">
        <f t="shared" si="11"/>
        <v>-161400000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804</v>
      </c>
      <c r="H84" s="36">
        <f t="shared" si="8"/>
        <v>1</v>
      </c>
      <c r="I84" s="11">
        <f t="shared" si="9"/>
        <v>1313065600</v>
      </c>
      <c r="J84" s="53">
        <f t="shared" si="10"/>
        <v>0</v>
      </c>
      <c r="K84" s="53">
        <f t="shared" si="11"/>
        <v>1313065600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800</v>
      </c>
      <c r="H85" s="36">
        <f t="shared" si="8"/>
        <v>1</v>
      </c>
      <c r="I85" s="11">
        <f t="shared" si="9"/>
        <v>1997500000</v>
      </c>
      <c r="J85" s="53">
        <f t="shared" si="10"/>
        <v>0</v>
      </c>
      <c r="K85" s="53">
        <f t="shared" si="11"/>
        <v>1997500000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796</v>
      </c>
      <c r="H86" s="36">
        <f t="shared" si="8"/>
        <v>1</v>
      </c>
      <c r="I86" s="11">
        <f t="shared" si="9"/>
        <v>148108500</v>
      </c>
      <c r="J86" s="53">
        <f t="shared" si="10"/>
        <v>67535250</v>
      </c>
      <c r="K86" s="53">
        <f t="shared" si="11"/>
        <v>80573250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793</v>
      </c>
      <c r="H87" s="36">
        <f t="shared" si="8"/>
        <v>0</v>
      </c>
      <c r="I87" s="11">
        <f t="shared" si="9"/>
        <v>-158600000</v>
      </c>
      <c r="J87" s="53">
        <f t="shared" si="10"/>
        <v>0</v>
      </c>
      <c r="K87" s="53">
        <f t="shared" si="11"/>
        <v>-158600000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792</v>
      </c>
      <c r="H88" s="36">
        <f t="shared" si="8"/>
        <v>0</v>
      </c>
      <c r="I88" s="11">
        <f t="shared" si="9"/>
        <v>-93456000</v>
      </c>
      <c r="J88" s="53">
        <f t="shared" si="10"/>
        <v>-54648000</v>
      </c>
      <c r="K88" s="53">
        <f t="shared" si="11"/>
        <v>-38808000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784</v>
      </c>
      <c r="H89" s="36">
        <f t="shared" si="8"/>
        <v>0</v>
      </c>
      <c r="I89" s="11">
        <f t="shared" si="9"/>
        <v>-2509505600</v>
      </c>
      <c r="J89" s="53">
        <f t="shared" si="10"/>
        <v>0</v>
      </c>
      <c r="K89" s="53">
        <f t="shared" si="11"/>
        <v>-2509505600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783</v>
      </c>
      <c r="H90" s="36">
        <f t="shared" si="8"/>
        <v>0</v>
      </c>
      <c r="I90" s="11">
        <f t="shared" si="9"/>
        <v>-2506304700</v>
      </c>
      <c r="J90" s="53">
        <f t="shared" si="10"/>
        <v>0</v>
      </c>
      <c r="K90" s="53">
        <f t="shared" si="11"/>
        <v>-2506304700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782</v>
      </c>
      <c r="H91" s="36">
        <f t="shared" si="8"/>
        <v>0</v>
      </c>
      <c r="I91" s="11">
        <f t="shared" si="9"/>
        <v>-2503103800</v>
      </c>
      <c r="J91" s="53">
        <f t="shared" si="10"/>
        <v>0</v>
      </c>
      <c r="K91" s="53">
        <f t="shared" si="11"/>
        <v>-2503103800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781</v>
      </c>
      <c r="H92" s="36">
        <f t="shared" si="8"/>
        <v>0</v>
      </c>
      <c r="I92" s="11">
        <f t="shared" si="9"/>
        <v>-2499902900</v>
      </c>
      <c r="J92" s="53">
        <f t="shared" si="10"/>
        <v>0</v>
      </c>
      <c r="K92" s="53">
        <f t="shared" si="11"/>
        <v>-2499902900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780</v>
      </c>
      <c r="H93" s="36">
        <f t="shared" si="8"/>
        <v>0</v>
      </c>
      <c r="I93" s="11">
        <f t="shared" si="9"/>
        <v>-2496702000</v>
      </c>
      <c r="J93" s="53">
        <f t="shared" si="10"/>
        <v>0</v>
      </c>
      <c r="K93" s="53">
        <f t="shared" si="11"/>
        <v>-2496702000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779</v>
      </c>
      <c r="H94" s="36">
        <f t="shared" si="8"/>
        <v>0</v>
      </c>
      <c r="I94" s="11">
        <f t="shared" si="9"/>
        <v>-2493501100</v>
      </c>
      <c r="J94" s="53">
        <f t="shared" si="10"/>
        <v>0</v>
      </c>
      <c r="K94" s="53">
        <f t="shared" si="11"/>
        <v>-2493501100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777</v>
      </c>
      <c r="H95" s="36">
        <f t="shared" si="8"/>
        <v>0</v>
      </c>
      <c r="I95" s="11">
        <f t="shared" si="9"/>
        <v>-929755092</v>
      </c>
      <c r="J95" s="53">
        <f t="shared" si="10"/>
        <v>0</v>
      </c>
      <c r="K95" s="53">
        <f t="shared" si="11"/>
        <v>-929755092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767</v>
      </c>
      <c r="H96" s="36">
        <f t="shared" si="8"/>
        <v>0</v>
      </c>
      <c r="I96" s="11">
        <f t="shared" si="9"/>
        <v>-153400000</v>
      </c>
      <c r="J96" s="53">
        <f t="shared" si="10"/>
        <v>0</v>
      </c>
      <c r="K96" s="53">
        <f t="shared" si="11"/>
        <v>-153400000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766</v>
      </c>
      <c r="H97" s="36">
        <f t="shared" si="8"/>
        <v>1</v>
      </c>
      <c r="I97" s="11">
        <f t="shared" si="9"/>
        <v>122061870</v>
      </c>
      <c r="J97" s="53">
        <f t="shared" si="10"/>
        <v>52728390</v>
      </c>
      <c r="K97" s="53">
        <f t="shared" si="11"/>
        <v>69333480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761</v>
      </c>
      <c r="H98" s="36">
        <f t="shared" si="8"/>
        <v>1</v>
      </c>
      <c r="I98" s="11">
        <f t="shared" si="9"/>
        <v>86919680</v>
      </c>
      <c r="J98" s="53">
        <f t="shared" si="10"/>
        <v>0</v>
      </c>
      <c r="K98" s="53">
        <f t="shared" si="11"/>
        <v>86919680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758</v>
      </c>
      <c r="H99" s="36">
        <f t="shared" si="8"/>
        <v>0</v>
      </c>
      <c r="I99" s="11">
        <f t="shared" si="9"/>
        <v>-1004350000</v>
      </c>
      <c r="J99" s="53">
        <f t="shared" si="10"/>
        <v>0</v>
      </c>
      <c r="K99" s="53">
        <f t="shared" si="11"/>
        <v>-1004350000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753</v>
      </c>
      <c r="H100" s="36">
        <f t="shared" si="8"/>
        <v>1</v>
      </c>
      <c r="I100" s="11">
        <f t="shared" si="9"/>
        <v>996400000</v>
      </c>
      <c r="J100" s="53">
        <f t="shared" si="10"/>
        <v>0</v>
      </c>
      <c r="K100" s="53">
        <f t="shared" si="11"/>
        <v>996400000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736</v>
      </c>
      <c r="H101" s="36">
        <f t="shared" si="8"/>
        <v>1</v>
      </c>
      <c r="I101" s="11">
        <f t="shared" si="9"/>
        <v>49131075</v>
      </c>
      <c r="J101" s="53">
        <f t="shared" si="10"/>
        <v>49131075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733</v>
      </c>
      <c r="H102" s="36">
        <f t="shared" si="8"/>
        <v>1</v>
      </c>
      <c r="I102" s="11">
        <f t="shared" si="9"/>
        <v>2196000000</v>
      </c>
      <c r="J102" s="53">
        <f t="shared" si="10"/>
        <v>0</v>
      </c>
      <c r="K102" s="53">
        <f t="shared" si="11"/>
        <v>2196000000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726</v>
      </c>
      <c r="H103" s="36">
        <f t="shared" si="8"/>
        <v>0</v>
      </c>
      <c r="I103" s="11">
        <f t="shared" si="9"/>
        <v>-726000000</v>
      </c>
      <c r="J103" s="53">
        <f t="shared" si="10"/>
        <v>-726000000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716</v>
      </c>
      <c r="H104" s="36">
        <f t="shared" si="8"/>
        <v>1</v>
      </c>
      <c r="I104" s="11">
        <f t="shared" si="9"/>
        <v>2145000000</v>
      </c>
      <c r="J104" s="53">
        <f t="shared" si="10"/>
        <v>2145000000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715</v>
      </c>
      <c r="H105" s="36">
        <f t="shared" si="8"/>
        <v>1</v>
      </c>
      <c r="I105" s="11">
        <f t="shared" si="9"/>
        <v>799680000</v>
      </c>
      <c r="J105" s="53">
        <f t="shared" si="10"/>
        <v>799680000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715</v>
      </c>
      <c r="H106" s="36">
        <f t="shared" si="8"/>
        <v>0</v>
      </c>
      <c r="I106" s="11">
        <f t="shared" si="9"/>
        <v>-2145000000</v>
      </c>
      <c r="J106" s="53">
        <f t="shared" si="10"/>
        <v>0</v>
      </c>
      <c r="K106" s="53">
        <f t="shared" si="11"/>
        <v>-2145000000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706</v>
      </c>
      <c r="H107" s="36">
        <f t="shared" si="8"/>
        <v>1</v>
      </c>
      <c r="I107" s="11">
        <f t="shared" si="9"/>
        <v>63798270</v>
      </c>
      <c r="J107" s="53">
        <f t="shared" si="10"/>
        <v>52956075</v>
      </c>
      <c r="K107" s="53">
        <f t="shared" si="11"/>
        <v>10842195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704</v>
      </c>
      <c r="H108" s="36">
        <f t="shared" si="8"/>
        <v>0</v>
      </c>
      <c r="I108" s="11">
        <f t="shared" si="9"/>
        <v>-1197292800</v>
      </c>
      <c r="J108" s="53">
        <f t="shared" si="10"/>
        <v>0</v>
      </c>
      <c r="K108" s="53">
        <f t="shared" si="11"/>
        <v>-1197292800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700</v>
      </c>
      <c r="H109" s="36">
        <f t="shared" si="8"/>
        <v>0</v>
      </c>
      <c r="I109" s="11">
        <f t="shared" si="9"/>
        <v>-700350000</v>
      </c>
      <c r="J109" s="53">
        <f t="shared" si="10"/>
        <v>0</v>
      </c>
      <c r="K109" s="53">
        <f t="shared" si="11"/>
        <v>-700350000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697</v>
      </c>
      <c r="H110" s="36">
        <f t="shared" si="8"/>
        <v>1</v>
      </c>
      <c r="I110" s="11">
        <f t="shared" si="9"/>
        <v>13920000000</v>
      </c>
      <c r="J110" s="53">
        <f t="shared" si="10"/>
        <v>0</v>
      </c>
      <c r="K110" s="53">
        <f t="shared" si="11"/>
        <v>13920000000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677</v>
      </c>
      <c r="H111" s="36">
        <f t="shared" si="8"/>
        <v>1</v>
      </c>
      <c r="I111" s="11">
        <f t="shared" si="9"/>
        <v>118082328</v>
      </c>
      <c r="J111" s="53">
        <f t="shared" si="10"/>
        <v>59057388</v>
      </c>
      <c r="K111" s="53">
        <f t="shared" si="11"/>
        <v>59024940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661</v>
      </c>
      <c r="H112" s="36">
        <f t="shared" si="8"/>
        <v>0</v>
      </c>
      <c r="I112" s="11">
        <f t="shared" si="9"/>
        <v>-18772400000</v>
      </c>
      <c r="J112" s="53">
        <f t="shared" si="10"/>
        <v>0</v>
      </c>
      <c r="K112" s="53">
        <f t="shared" si="11"/>
        <v>-18772400000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646</v>
      </c>
      <c r="H113" s="36">
        <f t="shared" si="8"/>
        <v>1</v>
      </c>
      <c r="I113" s="11">
        <f t="shared" si="9"/>
        <v>105160800</v>
      </c>
      <c r="J113" s="53">
        <f t="shared" si="10"/>
        <v>79019595</v>
      </c>
      <c r="K113" s="53">
        <f t="shared" si="11"/>
        <v>26141205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646</v>
      </c>
      <c r="H114" s="36">
        <f t="shared" si="8"/>
        <v>0</v>
      </c>
      <c r="I114" s="11">
        <f t="shared" si="9"/>
        <v>-3682200</v>
      </c>
      <c r="J114" s="53">
        <f t="shared" si="10"/>
        <v>-1615000</v>
      </c>
      <c r="K114" s="53">
        <f t="shared" si="11"/>
        <v>-2067200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633</v>
      </c>
      <c r="H115" s="36">
        <f t="shared" si="8"/>
        <v>0</v>
      </c>
      <c r="I115" s="11">
        <f t="shared" si="9"/>
        <v>0</v>
      </c>
      <c r="J115" s="53">
        <f t="shared" si="10"/>
        <v>316500000</v>
      </c>
      <c r="K115" s="53">
        <f t="shared" si="11"/>
        <v>-316500000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625</v>
      </c>
      <c r="H116" s="36">
        <f t="shared" si="8"/>
        <v>0</v>
      </c>
      <c r="I116" s="11">
        <f t="shared" si="9"/>
        <v>-100000000</v>
      </c>
      <c r="J116" s="53">
        <f t="shared" si="10"/>
        <v>0</v>
      </c>
      <c r="K116" s="53">
        <f t="shared" si="11"/>
        <v>-100000000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616</v>
      </c>
      <c r="H117" s="36">
        <f t="shared" si="8"/>
        <v>1</v>
      </c>
      <c r="I117" s="11">
        <f t="shared" si="9"/>
        <v>910200</v>
      </c>
      <c r="J117" s="53">
        <f t="shared" si="10"/>
        <v>65768715</v>
      </c>
      <c r="K117" s="53">
        <f t="shared" si="11"/>
        <v>-64858515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594</v>
      </c>
      <c r="H118" s="36">
        <f t="shared" si="8"/>
        <v>1</v>
      </c>
      <c r="I118" s="11">
        <f t="shared" si="9"/>
        <v>23363903500</v>
      </c>
      <c r="J118" s="53">
        <f t="shared" si="10"/>
        <v>0</v>
      </c>
      <c r="K118" s="53">
        <f t="shared" si="11"/>
        <v>23363903500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585</v>
      </c>
      <c r="H119" s="36">
        <f t="shared" si="8"/>
        <v>1</v>
      </c>
      <c r="I119" s="11">
        <f t="shared" si="9"/>
        <v>55784264</v>
      </c>
      <c r="J119" s="53">
        <f t="shared" si="10"/>
        <v>64271536</v>
      </c>
      <c r="K119" s="53">
        <f t="shared" si="11"/>
        <v>-8487272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581</v>
      </c>
      <c r="H120" s="11">
        <f t="shared" si="8"/>
        <v>1</v>
      </c>
      <c r="I120" s="11">
        <f t="shared" ref="I120:I313" si="13">B120*(G120-H120)</f>
        <v>1160000000</v>
      </c>
      <c r="J120" s="11">
        <f t="shared" si="10"/>
        <v>0</v>
      </c>
      <c r="K120" s="11">
        <f t="shared" si="11"/>
        <v>1160000000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555</v>
      </c>
      <c r="H121" s="11">
        <f t="shared" si="8"/>
        <v>1</v>
      </c>
      <c r="I121" s="11">
        <f t="shared" si="13"/>
        <v>1440400000</v>
      </c>
      <c r="J121" s="11">
        <f t="shared" si="10"/>
        <v>0</v>
      </c>
      <c r="K121" s="11">
        <f t="shared" si="11"/>
        <v>1440400000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554</v>
      </c>
      <c r="H122" s="11">
        <f t="shared" si="8"/>
        <v>1</v>
      </c>
      <c r="I122" s="11">
        <f t="shared" si="13"/>
        <v>212656703</v>
      </c>
      <c r="J122" s="11">
        <f t="shared" si="10"/>
        <v>61332124</v>
      </c>
      <c r="K122" s="11">
        <f t="shared" si="11"/>
        <v>151324579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553</v>
      </c>
      <c r="H123" s="11">
        <f t="shared" si="8"/>
        <v>0</v>
      </c>
      <c r="I123" s="11">
        <f t="shared" si="13"/>
        <v>0</v>
      </c>
      <c r="J123" s="11">
        <f t="shared" si="10"/>
        <v>442400000</v>
      </c>
      <c r="K123" s="11">
        <f t="shared" si="11"/>
        <v>-442400000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539</v>
      </c>
      <c r="H124" s="11">
        <f t="shared" si="8"/>
        <v>0</v>
      </c>
      <c r="I124" s="11">
        <f t="shared" si="13"/>
        <v>-1617000000</v>
      </c>
      <c r="J124" s="11">
        <f t="shared" si="10"/>
        <v>0</v>
      </c>
      <c r="K124" s="11">
        <f t="shared" si="11"/>
        <v>-1617000000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524</v>
      </c>
      <c r="H125" s="11">
        <f t="shared" si="8"/>
        <v>1</v>
      </c>
      <c r="I125" s="11">
        <f t="shared" si="13"/>
        <v>209571330</v>
      </c>
      <c r="J125" s="11">
        <f t="shared" si="10"/>
        <v>62171625</v>
      </c>
      <c r="K125" s="11">
        <f t="shared" si="11"/>
        <v>147399705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524</v>
      </c>
      <c r="H126" s="11">
        <f t="shared" si="8"/>
        <v>1</v>
      </c>
      <c r="I126" s="11">
        <f t="shared" si="13"/>
        <v>21966000000</v>
      </c>
      <c r="J126" s="11">
        <f t="shared" si="10"/>
        <v>0</v>
      </c>
      <c r="K126" s="11">
        <f t="shared" si="11"/>
        <v>21966000000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499</v>
      </c>
      <c r="H127" s="11">
        <f t="shared" si="8"/>
        <v>0</v>
      </c>
      <c r="I127" s="11">
        <f t="shared" si="13"/>
        <v>-2495000</v>
      </c>
      <c r="J127" s="11">
        <f t="shared" si="10"/>
        <v>0</v>
      </c>
      <c r="K127" s="11">
        <f t="shared" si="11"/>
        <v>-2495000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493</v>
      </c>
      <c r="H128" s="11">
        <f t="shared" si="8"/>
        <v>1</v>
      </c>
      <c r="I128" s="11">
        <f t="shared" si="13"/>
        <v>379516008</v>
      </c>
      <c r="J128" s="11">
        <f t="shared" si="10"/>
        <v>59382924</v>
      </c>
      <c r="K128" s="11">
        <f t="shared" si="11"/>
        <v>320133084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490</v>
      </c>
      <c r="H129" s="11">
        <f t="shared" si="8"/>
        <v>1</v>
      </c>
      <c r="I129" s="11">
        <f t="shared" si="13"/>
        <v>1222500000</v>
      </c>
      <c r="J129" s="11">
        <f t="shared" si="10"/>
        <v>0</v>
      </c>
      <c r="K129" s="11">
        <f t="shared" si="11"/>
        <v>1222500000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476</v>
      </c>
      <c r="H130" s="11">
        <f t="shared" si="8"/>
        <v>0</v>
      </c>
      <c r="I130" s="11">
        <f t="shared" si="13"/>
        <v>-476000000</v>
      </c>
      <c r="J130" s="11">
        <f t="shared" si="10"/>
        <v>-476000000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471</v>
      </c>
      <c r="H131" s="11">
        <f t="shared" si="8"/>
        <v>0</v>
      </c>
      <c r="I131" s="11">
        <f t="shared" si="13"/>
        <v>-23550000000</v>
      </c>
      <c r="J131" s="11">
        <f t="shared" si="10"/>
        <v>0</v>
      </c>
      <c r="K131" s="11">
        <f t="shared" si="11"/>
        <v>-23550000000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463</v>
      </c>
      <c r="H132" s="11">
        <f t="shared" ref="H132:H313" si="15">IF(B132&gt;0,1,0)</f>
        <v>1</v>
      </c>
      <c r="I132" s="11">
        <f t="shared" si="13"/>
        <v>283800594</v>
      </c>
      <c r="J132" s="11">
        <f t="shared" ref="J132:J206" si="16">C132*(G132-H132)</f>
        <v>48958602</v>
      </c>
      <c r="K132" s="11">
        <f t="shared" ref="K132:K313" si="17">D132*(G132-H132)</f>
        <v>234841992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459</v>
      </c>
      <c r="H133" s="11">
        <f t="shared" si="15"/>
        <v>0</v>
      </c>
      <c r="I133" s="11">
        <f t="shared" si="13"/>
        <v>-555711300</v>
      </c>
      <c r="J133" s="11">
        <f t="shared" si="16"/>
        <v>0</v>
      </c>
      <c r="K133" s="11">
        <f t="shared" si="17"/>
        <v>-555711300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450</v>
      </c>
      <c r="H134" s="11">
        <f t="shared" si="15"/>
        <v>0</v>
      </c>
      <c r="I134" s="11">
        <f t="shared" si="13"/>
        <v>-29250000</v>
      </c>
      <c r="J134" s="11">
        <f t="shared" si="16"/>
        <v>0</v>
      </c>
      <c r="K134" s="11">
        <f t="shared" si="17"/>
        <v>-29250000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450</v>
      </c>
      <c r="H135" s="11">
        <f t="shared" si="15"/>
        <v>0</v>
      </c>
      <c r="I135" s="11">
        <f t="shared" si="13"/>
        <v>-14535000</v>
      </c>
      <c r="J135" s="11">
        <f t="shared" si="16"/>
        <v>0</v>
      </c>
      <c r="K135" s="11">
        <f t="shared" si="17"/>
        <v>-14535000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442</v>
      </c>
      <c r="H136" s="11">
        <f t="shared" si="15"/>
        <v>0</v>
      </c>
      <c r="I136" s="11">
        <f t="shared" si="13"/>
        <v>-442000000</v>
      </c>
      <c r="J136" s="11">
        <f t="shared" si="16"/>
        <v>-442000000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433</v>
      </c>
      <c r="H137" s="11">
        <f t="shared" si="15"/>
        <v>1</v>
      </c>
      <c r="I137" s="11">
        <f t="shared" si="13"/>
        <v>125657136</v>
      </c>
      <c r="J137" s="11">
        <f t="shared" si="16"/>
        <v>42059088</v>
      </c>
      <c r="K137" s="11">
        <f t="shared" si="17"/>
        <v>83598048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416</v>
      </c>
      <c r="H138" s="11">
        <f t="shared" si="15"/>
        <v>0</v>
      </c>
      <c r="I138" s="11">
        <f t="shared" si="13"/>
        <v>-416208000</v>
      </c>
      <c r="J138" s="11">
        <f t="shared" si="16"/>
        <v>-416208000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404</v>
      </c>
      <c r="H139" s="11">
        <f t="shared" si="15"/>
        <v>1</v>
      </c>
      <c r="I139" s="11">
        <f t="shared" si="13"/>
        <v>113742720</v>
      </c>
      <c r="J139" s="11">
        <f t="shared" si="16"/>
        <v>35789221</v>
      </c>
      <c r="K139" s="11">
        <f t="shared" si="17"/>
        <v>77953499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401</v>
      </c>
      <c r="H140" s="11">
        <f t="shared" si="15"/>
        <v>1</v>
      </c>
      <c r="I140" s="11">
        <f t="shared" si="13"/>
        <v>600000000</v>
      </c>
      <c r="J140" s="11">
        <f t="shared" si="16"/>
        <v>0</v>
      </c>
      <c r="K140" s="11">
        <f t="shared" si="17"/>
        <v>600000000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388</v>
      </c>
      <c r="H141" s="11">
        <f t="shared" si="15"/>
        <v>0</v>
      </c>
      <c r="I141" s="11">
        <f t="shared" si="13"/>
        <v>0</v>
      </c>
      <c r="J141" s="11">
        <f t="shared" si="16"/>
        <v>-388000000</v>
      </c>
      <c r="K141" s="11">
        <f t="shared" si="17"/>
        <v>388000000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374</v>
      </c>
      <c r="H142" s="11">
        <f t="shared" si="15"/>
        <v>1</v>
      </c>
      <c r="I142" s="11">
        <f t="shared" si="13"/>
        <v>108503089</v>
      </c>
      <c r="J142" s="11">
        <f t="shared" si="16"/>
        <v>30221206</v>
      </c>
      <c r="K142" s="11">
        <f t="shared" si="17"/>
        <v>78281883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354</v>
      </c>
      <c r="H143" s="11">
        <f t="shared" si="15"/>
        <v>0</v>
      </c>
      <c r="I143" s="11">
        <f t="shared" si="13"/>
        <v>0</v>
      </c>
      <c r="J143" s="11">
        <f t="shared" si="16"/>
        <v>-354000000</v>
      </c>
      <c r="K143" s="11">
        <f t="shared" si="17"/>
        <v>354000000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344</v>
      </c>
      <c r="H144" s="11">
        <f t="shared" si="15"/>
        <v>1</v>
      </c>
      <c r="I144" s="11">
        <f t="shared" si="13"/>
        <v>101134236</v>
      </c>
      <c r="J144" s="11">
        <f t="shared" si="16"/>
        <v>25607351</v>
      </c>
      <c r="K144" s="11">
        <f t="shared" si="17"/>
        <v>75526885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329</v>
      </c>
      <c r="H145" s="11">
        <f t="shared" si="15"/>
        <v>0</v>
      </c>
      <c r="I145" s="11">
        <f t="shared" si="13"/>
        <v>-3290000</v>
      </c>
      <c r="J145" s="11">
        <f t="shared" si="16"/>
        <v>-1645000</v>
      </c>
      <c r="K145" s="11">
        <f t="shared" si="17"/>
        <v>-1645000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324</v>
      </c>
      <c r="H146" s="11">
        <f t="shared" si="15"/>
        <v>0</v>
      </c>
      <c r="I146" s="11">
        <f t="shared" si="13"/>
        <v>-324162000</v>
      </c>
      <c r="J146" s="11">
        <f t="shared" si="16"/>
        <v>-324162000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318</v>
      </c>
      <c r="H147" s="11">
        <f t="shared" si="15"/>
        <v>0</v>
      </c>
      <c r="I147" s="11">
        <f t="shared" si="13"/>
        <v>-8586000000</v>
      </c>
      <c r="J147" s="11">
        <f t="shared" si="16"/>
        <v>0</v>
      </c>
      <c r="K147" s="11">
        <f t="shared" si="17"/>
        <v>-8586000000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315</v>
      </c>
      <c r="H148" s="11">
        <f t="shared" si="15"/>
        <v>1</v>
      </c>
      <c r="I148" s="11">
        <f t="shared" si="13"/>
        <v>79264904</v>
      </c>
      <c r="J148" s="11">
        <f t="shared" si="16"/>
        <v>20570140</v>
      </c>
      <c r="K148" s="11">
        <f t="shared" si="17"/>
        <v>58694764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307</v>
      </c>
      <c r="H149" s="11">
        <f t="shared" si="15"/>
        <v>1</v>
      </c>
      <c r="I149" s="11">
        <f t="shared" si="13"/>
        <v>16034400000</v>
      </c>
      <c r="J149" s="11">
        <f t="shared" si="16"/>
        <v>0</v>
      </c>
      <c r="K149" s="11">
        <f t="shared" si="17"/>
        <v>16034400000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300</v>
      </c>
      <c r="H150" s="11">
        <f t="shared" si="15"/>
        <v>0</v>
      </c>
      <c r="I150" s="11">
        <f t="shared" si="13"/>
        <v>-15600000000</v>
      </c>
      <c r="J150" s="11">
        <f t="shared" si="16"/>
        <v>0</v>
      </c>
      <c r="K150" s="11">
        <f t="shared" si="17"/>
        <v>-15600000000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295</v>
      </c>
      <c r="H151" s="99">
        <f t="shared" si="15"/>
        <v>0</v>
      </c>
      <c r="I151" s="99">
        <f t="shared" si="13"/>
        <v>-2360000000</v>
      </c>
      <c r="J151" s="99">
        <f t="shared" si="16"/>
        <v>-1997778645</v>
      </c>
      <c r="K151" s="11">
        <f t="shared" si="17"/>
        <v>-362221355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295</v>
      </c>
      <c r="H152" s="99">
        <f t="shared" si="15"/>
        <v>0</v>
      </c>
      <c r="I152" s="99">
        <f t="shared" si="13"/>
        <v>-9212850</v>
      </c>
      <c r="J152" s="99">
        <f t="shared" si="16"/>
        <v>0</v>
      </c>
      <c r="K152" s="99">
        <f t="shared" si="17"/>
        <v>-9212850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284</v>
      </c>
      <c r="H153" s="99">
        <f t="shared" si="15"/>
        <v>1</v>
      </c>
      <c r="I153" s="99">
        <f t="shared" si="13"/>
        <v>38229621</v>
      </c>
      <c r="J153" s="99">
        <f t="shared" si="16"/>
        <v>11639790</v>
      </c>
      <c r="K153" s="99">
        <f t="shared" si="17"/>
        <v>26589831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281</v>
      </c>
      <c r="H154" s="99">
        <f t="shared" si="15"/>
        <v>1</v>
      </c>
      <c r="I154" s="99">
        <f t="shared" si="13"/>
        <v>1910742960</v>
      </c>
      <c r="J154" s="99">
        <f t="shared" si="16"/>
        <v>1910742960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276</v>
      </c>
      <c r="H155" s="99">
        <f t="shared" si="15"/>
        <v>0</v>
      </c>
      <c r="I155" s="99">
        <f t="shared" si="13"/>
        <v>-55200000</v>
      </c>
      <c r="J155" s="99">
        <f t="shared" si="16"/>
        <v>0</v>
      </c>
      <c r="K155" s="99">
        <f t="shared" si="17"/>
        <v>-55200000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276</v>
      </c>
      <c r="H156" s="99">
        <f t="shared" si="15"/>
        <v>0</v>
      </c>
      <c r="I156" s="99">
        <f t="shared" si="13"/>
        <v>-68403840</v>
      </c>
      <c r="J156" s="99">
        <f t="shared" si="16"/>
        <v>0</v>
      </c>
      <c r="K156" s="99">
        <f t="shared" si="17"/>
        <v>-68403840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275</v>
      </c>
      <c r="H157" s="99">
        <f t="shared" si="15"/>
        <v>0</v>
      </c>
      <c r="I157" s="99">
        <f t="shared" si="13"/>
        <v>-44643500</v>
      </c>
      <c r="J157" s="99">
        <f t="shared" si="16"/>
        <v>0</v>
      </c>
      <c r="K157" s="99">
        <f t="shared" si="17"/>
        <v>-44643500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275</v>
      </c>
      <c r="H158" s="99">
        <f t="shared" si="15"/>
        <v>0</v>
      </c>
      <c r="I158" s="99">
        <f t="shared" si="13"/>
        <v>-825247500</v>
      </c>
      <c r="J158" s="99">
        <f t="shared" si="16"/>
        <v>0</v>
      </c>
      <c r="K158" s="99">
        <f t="shared" si="17"/>
        <v>-825247500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273</v>
      </c>
      <c r="H159" s="99">
        <f t="shared" si="15"/>
        <v>0</v>
      </c>
      <c r="I159" s="99">
        <f t="shared" si="13"/>
        <v>-273136500</v>
      </c>
      <c r="J159" s="99">
        <f t="shared" si="16"/>
        <v>0</v>
      </c>
      <c r="K159" s="99">
        <f t="shared" si="17"/>
        <v>-273136500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269</v>
      </c>
      <c r="H160" s="99">
        <f t="shared" si="15"/>
        <v>0</v>
      </c>
      <c r="I160" s="99">
        <f t="shared" si="13"/>
        <v>-26900000</v>
      </c>
      <c r="J160" s="99">
        <f t="shared" si="16"/>
        <v>0</v>
      </c>
      <c r="K160" s="99">
        <f t="shared" si="17"/>
        <v>-26900000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268</v>
      </c>
      <c r="H161" s="99">
        <f t="shared" si="15"/>
        <v>0</v>
      </c>
      <c r="I161" s="99">
        <f t="shared" si="13"/>
        <v>-536000000</v>
      </c>
      <c r="J161" s="99">
        <f t="shared" si="16"/>
        <v>0</v>
      </c>
      <c r="K161" s="99">
        <f t="shared" si="17"/>
        <v>-536000000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268</v>
      </c>
      <c r="H162" s="99">
        <f t="shared" si="15"/>
        <v>0</v>
      </c>
      <c r="I162" s="99">
        <f t="shared" si="13"/>
        <v>-268134000</v>
      </c>
      <c r="J162" s="99">
        <f t="shared" si="16"/>
        <v>0</v>
      </c>
      <c r="K162" s="99">
        <f t="shared" si="17"/>
        <v>-268134000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265</v>
      </c>
      <c r="H163" s="99">
        <f t="shared" si="15"/>
        <v>0</v>
      </c>
      <c r="I163" s="99">
        <f t="shared" si="13"/>
        <v>-1325000</v>
      </c>
      <c r="J163" s="99">
        <f t="shared" si="16"/>
        <v>0</v>
      </c>
      <c r="K163" s="99">
        <f t="shared" si="17"/>
        <v>-1325000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255</v>
      </c>
      <c r="H164" s="99">
        <f t="shared" si="15"/>
        <v>1</v>
      </c>
      <c r="I164" s="99">
        <f t="shared" si="13"/>
        <v>762000000</v>
      </c>
      <c r="J164" s="99">
        <f t="shared" si="16"/>
        <v>0</v>
      </c>
      <c r="K164" s="99">
        <f t="shared" si="17"/>
        <v>762000000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254</v>
      </c>
      <c r="H165" s="99">
        <f t="shared" si="15"/>
        <v>1</v>
      </c>
      <c r="I165" s="99">
        <f t="shared" si="13"/>
        <v>759000000</v>
      </c>
      <c r="J165" s="99">
        <f t="shared" si="16"/>
        <v>0</v>
      </c>
      <c r="K165" s="99">
        <f t="shared" si="17"/>
        <v>759000000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253</v>
      </c>
      <c r="H166" s="99">
        <f t="shared" si="15"/>
        <v>1</v>
      </c>
      <c r="I166" s="99">
        <f t="shared" si="13"/>
        <v>5119128</v>
      </c>
      <c r="J166" s="99">
        <f t="shared" si="16"/>
        <v>15080184</v>
      </c>
      <c r="K166" s="99">
        <f t="shared" si="17"/>
        <v>-9961056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248</v>
      </c>
      <c r="H167" s="99">
        <f t="shared" si="15"/>
        <v>0</v>
      </c>
      <c r="I167" s="99">
        <f t="shared" si="13"/>
        <v>-744223200</v>
      </c>
      <c r="J167" s="99">
        <f t="shared" si="16"/>
        <v>0</v>
      </c>
      <c r="K167" s="99">
        <f t="shared" si="17"/>
        <v>-744223200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230</v>
      </c>
      <c r="H168" s="99">
        <f t="shared" si="15"/>
        <v>0</v>
      </c>
      <c r="I168" s="99">
        <f t="shared" si="13"/>
        <v>-690207000</v>
      </c>
      <c r="J168" s="99">
        <f t="shared" si="16"/>
        <v>0</v>
      </c>
      <c r="K168" s="99">
        <f t="shared" si="17"/>
        <v>-690207000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222</v>
      </c>
      <c r="H169" s="99">
        <f t="shared" si="15"/>
        <v>1</v>
      </c>
      <c r="I169" s="99">
        <f t="shared" si="13"/>
        <v>4796805</v>
      </c>
      <c r="J169" s="99">
        <f t="shared" si="16"/>
        <v>15141815</v>
      </c>
      <c r="K169" s="99">
        <f t="shared" si="17"/>
        <v>-10345010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198</v>
      </c>
      <c r="H170" s="99">
        <f t="shared" si="15"/>
        <v>1</v>
      </c>
      <c r="I170" s="99">
        <f t="shared" si="13"/>
        <v>985000000</v>
      </c>
      <c r="J170" s="99">
        <f t="shared" si="16"/>
        <v>0</v>
      </c>
      <c r="K170" s="99">
        <f t="shared" si="17"/>
        <v>985000000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197</v>
      </c>
      <c r="H171" s="99">
        <f t="shared" si="15"/>
        <v>0</v>
      </c>
      <c r="I171" s="99">
        <f t="shared" si="13"/>
        <v>-985000000</v>
      </c>
      <c r="J171" s="99">
        <f t="shared" si="16"/>
        <v>0</v>
      </c>
      <c r="K171" s="99">
        <f t="shared" si="17"/>
        <v>-985000000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191</v>
      </c>
      <c r="H172" s="99">
        <f t="shared" si="15"/>
        <v>1</v>
      </c>
      <c r="I172" s="99">
        <f t="shared" si="13"/>
        <v>94240</v>
      </c>
      <c r="J172" s="99">
        <f t="shared" si="16"/>
        <v>11909390</v>
      </c>
      <c r="K172" s="99">
        <f t="shared" si="17"/>
        <v>-11815150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190</v>
      </c>
      <c r="H173" s="99">
        <f t="shared" si="15"/>
        <v>1</v>
      </c>
      <c r="I173" s="99">
        <f t="shared" si="13"/>
        <v>148365000</v>
      </c>
      <c r="J173" s="99">
        <f t="shared" si="16"/>
        <v>0</v>
      </c>
      <c r="K173" s="99">
        <f t="shared" si="17"/>
        <v>148365000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179</v>
      </c>
      <c r="H174" s="99">
        <f t="shared" si="15"/>
        <v>0</v>
      </c>
      <c r="I174" s="99">
        <f t="shared" si="13"/>
        <v>-5728000</v>
      </c>
      <c r="J174" s="99">
        <f t="shared" si="16"/>
        <v>0</v>
      </c>
      <c r="K174" s="99">
        <f t="shared" si="17"/>
        <v>-5728000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177</v>
      </c>
      <c r="H175" s="99">
        <f t="shared" si="15"/>
        <v>0</v>
      </c>
      <c r="I175" s="99">
        <f t="shared" si="13"/>
        <v>-132750000</v>
      </c>
      <c r="J175" s="99">
        <f t="shared" si="16"/>
        <v>0</v>
      </c>
      <c r="K175" s="99">
        <f t="shared" si="17"/>
        <v>-132750000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168</v>
      </c>
      <c r="H176" s="99">
        <f t="shared" si="15"/>
        <v>0</v>
      </c>
      <c r="I176" s="99">
        <f t="shared" si="13"/>
        <v>-1578528</v>
      </c>
      <c r="J176" s="99">
        <f t="shared" si="16"/>
        <v>0</v>
      </c>
      <c r="K176" s="99">
        <f t="shared" si="17"/>
        <v>-1578528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167</v>
      </c>
      <c r="H177" s="99">
        <f t="shared" si="15"/>
        <v>0</v>
      </c>
      <c r="I177" s="99">
        <f t="shared" si="13"/>
        <v>-7231100</v>
      </c>
      <c r="J177" s="99">
        <f t="shared" si="16"/>
        <v>0</v>
      </c>
      <c r="K177" s="99">
        <f t="shared" si="17"/>
        <v>-7231100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164</v>
      </c>
      <c r="H178" s="99">
        <f t="shared" si="15"/>
        <v>1</v>
      </c>
      <c r="I178" s="99">
        <f t="shared" si="13"/>
        <v>58680000</v>
      </c>
      <c r="J178" s="99">
        <f t="shared" si="16"/>
        <v>0</v>
      </c>
      <c r="K178" s="99">
        <f t="shared" si="17"/>
        <v>58680000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162</v>
      </c>
      <c r="H179" s="99">
        <f t="shared" si="15"/>
        <v>1</v>
      </c>
      <c r="I179" s="99">
        <f t="shared" si="13"/>
        <v>483000000</v>
      </c>
      <c r="J179" s="99">
        <f t="shared" si="16"/>
        <v>0</v>
      </c>
      <c r="K179" s="99">
        <f t="shared" si="17"/>
        <v>483000000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162</v>
      </c>
      <c r="H180" s="99">
        <f t="shared" si="15"/>
        <v>0</v>
      </c>
      <c r="I180" s="99">
        <f t="shared" si="13"/>
        <v>-1952100</v>
      </c>
      <c r="J180" s="99">
        <f t="shared" si="16"/>
        <v>0</v>
      </c>
      <c r="K180" s="99">
        <f t="shared" si="17"/>
        <v>-1952100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160</v>
      </c>
      <c r="H181" s="99">
        <f t="shared" si="15"/>
        <v>1</v>
      </c>
      <c r="I181" s="99">
        <f t="shared" si="13"/>
        <v>477000000</v>
      </c>
      <c r="J181" s="99">
        <f t="shared" si="16"/>
        <v>0</v>
      </c>
      <c r="K181" s="99">
        <f t="shared" si="17"/>
        <v>477000000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158</v>
      </c>
      <c r="H182" s="99">
        <f t="shared" si="15"/>
        <v>0</v>
      </c>
      <c r="I182" s="99">
        <f t="shared" si="13"/>
        <v>-5656400</v>
      </c>
      <c r="J182" s="99">
        <f t="shared" si="16"/>
        <v>0</v>
      </c>
      <c r="K182" s="99">
        <f t="shared" si="17"/>
        <v>-5656400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157</v>
      </c>
      <c r="H183" s="99">
        <f t="shared" si="15"/>
        <v>1</v>
      </c>
      <c r="I183" s="99">
        <f t="shared" si="13"/>
        <v>561600000</v>
      </c>
      <c r="J183" s="99">
        <f t="shared" si="16"/>
        <v>0</v>
      </c>
      <c r="K183" s="99">
        <f t="shared" si="17"/>
        <v>561600000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157</v>
      </c>
      <c r="H184" s="99">
        <f t="shared" si="15"/>
        <v>0</v>
      </c>
      <c r="I184" s="99">
        <f t="shared" si="13"/>
        <v>-5240189</v>
      </c>
      <c r="J184" s="99">
        <f t="shared" si="16"/>
        <v>0</v>
      </c>
      <c r="K184" s="99">
        <f t="shared" si="17"/>
        <v>-5240189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154</v>
      </c>
      <c r="H185" s="99">
        <f t="shared" si="15"/>
        <v>0</v>
      </c>
      <c r="I185" s="99">
        <f t="shared" si="13"/>
        <v>-1509200000</v>
      </c>
      <c r="J185" s="99">
        <f t="shared" si="16"/>
        <v>0</v>
      </c>
      <c r="K185" s="99">
        <f t="shared" si="17"/>
        <v>-1509200000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154</v>
      </c>
      <c r="H186" s="99">
        <f t="shared" si="15"/>
        <v>1</v>
      </c>
      <c r="I186" s="99">
        <f t="shared" si="13"/>
        <v>2754000000</v>
      </c>
      <c r="J186" s="99">
        <f t="shared" si="16"/>
        <v>0</v>
      </c>
      <c r="K186" s="99">
        <f t="shared" si="17"/>
        <v>2754000000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154</v>
      </c>
      <c r="H187" s="99">
        <f t="shared" si="15"/>
        <v>0</v>
      </c>
      <c r="I187" s="99">
        <f t="shared" si="13"/>
        <v>-1386000000</v>
      </c>
      <c r="J187" s="99">
        <f t="shared" si="16"/>
        <v>0</v>
      </c>
      <c r="K187" s="99">
        <f t="shared" si="17"/>
        <v>-1386000000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154</v>
      </c>
      <c r="H188" s="99">
        <f t="shared" si="15"/>
        <v>0</v>
      </c>
      <c r="I188" s="99">
        <f t="shared" si="13"/>
        <v>-1786400</v>
      </c>
      <c r="J188" s="99">
        <f t="shared" si="16"/>
        <v>0</v>
      </c>
      <c r="K188" s="99">
        <f t="shared" si="17"/>
        <v>-1786400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154</v>
      </c>
      <c r="H189" s="99">
        <f t="shared" si="15"/>
        <v>0</v>
      </c>
      <c r="I189" s="99">
        <f t="shared" si="13"/>
        <v>-508866358</v>
      </c>
      <c r="J189" s="99">
        <f t="shared" si="16"/>
        <v>0</v>
      </c>
      <c r="K189" s="99">
        <f t="shared" si="17"/>
        <v>-508866358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153</v>
      </c>
      <c r="H190" s="99">
        <f t="shared" si="15"/>
        <v>0</v>
      </c>
      <c r="I190" s="99">
        <f t="shared" si="13"/>
        <v>-459137700</v>
      </c>
      <c r="J190" s="99">
        <f t="shared" si="16"/>
        <v>0</v>
      </c>
      <c r="K190" s="99">
        <f t="shared" si="17"/>
        <v>-459137700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152</v>
      </c>
      <c r="H191" s="99">
        <f t="shared" si="15"/>
        <v>0</v>
      </c>
      <c r="I191" s="99">
        <f t="shared" si="13"/>
        <v>-419656800</v>
      </c>
      <c r="J191" s="99">
        <f t="shared" si="16"/>
        <v>0</v>
      </c>
      <c r="K191" s="99">
        <f t="shared" si="17"/>
        <v>-419656800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147</v>
      </c>
      <c r="H192" s="99">
        <f t="shared" si="15"/>
        <v>1</v>
      </c>
      <c r="I192" s="99">
        <f t="shared" si="13"/>
        <v>146000000</v>
      </c>
      <c r="J192" s="99">
        <f t="shared" si="16"/>
        <v>0</v>
      </c>
      <c r="K192" s="99">
        <f t="shared" si="17"/>
        <v>146000000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146</v>
      </c>
      <c r="H193" s="99">
        <f t="shared" si="15"/>
        <v>0</v>
      </c>
      <c r="I193" s="99">
        <f t="shared" si="13"/>
        <v>-2190000</v>
      </c>
      <c r="J193" s="99">
        <f t="shared" si="16"/>
        <v>0</v>
      </c>
      <c r="K193" s="99">
        <f t="shared" si="17"/>
        <v>-2190000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144</v>
      </c>
      <c r="H194" s="99">
        <f t="shared" si="15"/>
        <v>0</v>
      </c>
      <c r="I194" s="99">
        <f t="shared" si="13"/>
        <v>-142560000</v>
      </c>
      <c r="J194" s="99">
        <f t="shared" si="16"/>
        <v>0</v>
      </c>
      <c r="K194" s="99">
        <f t="shared" si="17"/>
        <v>-142560000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144</v>
      </c>
      <c r="H195" s="99">
        <f t="shared" si="15"/>
        <v>1</v>
      </c>
      <c r="I195" s="99">
        <f t="shared" si="13"/>
        <v>111969000</v>
      </c>
      <c r="J195" s="99">
        <f t="shared" si="16"/>
        <v>0</v>
      </c>
      <c r="K195" s="99">
        <f t="shared" si="17"/>
        <v>111969000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142</v>
      </c>
      <c r="H196" s="99">
        <f t="shared" si="15"/>
        <v>0</v>
      </c>
      <c r="I196" s="99">
        <f t="shared" si="13"/>
        <v>-106571000</v>
      </c>
      <c r="J196" s="99">
        <f t="shared" si="16"/>
        <v>0</v>
      </c>
      <c r="K196" s="99">
        <f t="shared" si="17"/>
        <v>-106571000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140</v>
      </c>
      <c r="H197" s="99">
        <f t="shared" si="15"/>
        <v>1</v>
      </c>
      <c r="I197" s="99">
        <f t="shared" si="13"/>
        <v>97300000</v>
      </c>
      <c r="J197" s="99">
        <f t="shared" si="16"/>
        <v>0</v>
      </c>
      <c r="K197" s="99">
        <f t="shared" si="17"/>
        <v>97300000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140</v>
      </c>
      <c r="H198" s="99">
        <f t="shared" si="15"/>
        <v>0</v>
      </c>
      <c r="I198" s="99">
        <f t="shared" si="13"/>
        <v>-13860000</v>
      </c>
      <c r="J198" s="99">
        <f t="shared" si="16"/>
        <v>0</v>
      </c>
      <c r="K198" s="99">
        <f t="shared" si="17"/>
        <v>-13860000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139</v>
      </c>
      <c r="H199" s="99">
        <f t="shared" si="15"/>
        <v>0</v>
      </c>
      <c r="I199" s="99">
        <f t="shared" si="13"/>
        <v>-28599250</v>
      </c>
      <c r="J199" s="99">
        <f t="shared" si="16"/>
        <v>0</v>
      </c>
      <c r="K199" s="99">
        <f t="shared" si="17"/>
        <v>-28599250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139</v>
      </c>
      <c r="H200" s="99">
        <f t="shared" si="15"/>
        <v>0</v>
      </c>
      <c r="I200" s="99">
        <f t="shared" si="13"/>
        <v>-13205000</v>
      </c>
      <c r="J200" s="99">
        <f t="shared" si="16"/>
        <v>0</v>
      </c>
      <c r="K200" s="99">
        <f t="shared" si="17"/>
        <v>-13205000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136</v>
      </c>
      <c r="H201" s="99">
        <f t="shared" si="15"/>
        <v>1</v>
      </c>
      <c r="I201" s="99">
        <f t="shared" si="13"/>
        <v>6567750000</v>
      </c>
      <c r="J201" s="99">
        <f t="shared" si="16"/>
        <v>0</v>
      </c>
      <c r="K201" s="99">
        <f t="shared" si="17"/>
        <v>6567750000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136</v>
      </c>
      <c r="H202" s="99">
        <f t="shared" si="15"/>
        <v>0</v>
      </c>
      <c r="I202" s="99">
        <f t="shared" si="13"/>
        <v>-408122400</v>
      </c>
      <c r="J202" s="99">
        <f t="shared" si="16"/>
        <v>0</v>
      </c>
      <c r="K202" s="99">
        <f t="shared" si="17"/>
        <v>-408122400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136</v>
      </c>
      <c r="H203" s="99">
        <f t="shared" si="15"/>
        <v>0</v>
      </c>
      <c r="I203" s="99">
        <f t="shared" si="13"/>
        <v>-680000</v>
      </c>
      <c r="J203" s="99">
        <f t="shared" si="16"/>
        <v>0</v>
      </c>
      <c r="K203" s="99">
        <f t="shared" si="17"/>
        <v>-680000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136</v>
      </c>
      <c r="H204" s="99">
        <f t="shared" si="15"/>
        <v>0</v>
      </c>
      <c r="I204" s="99">
        <f t="shared" si="13"/>
        <v>-4556000000</v>
      </c>
      <c r="J204" s="99">
        <f t="shared" si="16"/>
        <v>0</v>
      </c>
      <c r="K204" s="99">
        <f t="shared" si="17"/>
        <v>-4556000000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135</v>
      </c>
      <c r="H205" s="99">
        <f t="shared" si="15"/>
        <v>0</v>
      </c>
      <c r="I205" s="99">
        <f t="shared" si="13"/>
        <v>-1678725000</v>
      </c>
      <c r="J205" s="99">
        <f t="shared" si="16"/>
        <v>0</v>
      </c>
      <c r="K205" s="99">
        <f t="shared" si="17"/>
        <v>-1678725000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132</v>
      </c>
      <c r="H206" s="99">
        <f t="shared" si="15"/>
        <v>0</v>
      </c>
      <c r="I206" s="99">
        <f t="shared" si="13"/>
        <v>-2442000</v>
      </c>
      <c r="J206" s="99">
        <f t="shared" si="16"/>
        <v>0</v>
      </c>
      <c r="K206" s="99">
        <f t="shared" si="17"/>
        <v>-2442000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130</v>
      </c>
      <c r="H207" s="99">
        <f t="shared" si="15"/>
        <v>1</v>
      </c>
      <c r="I207" s="99">
        <f t="shared" si="13"/>
        <v>1867920</v>
      </c>
      <c r="J207" s="99">
        <f t="shared" ref="J207:J313" si="20">C207*(G207-H207)</f>
        <v>9142746</v>
      </c>
      <c r="K207" s="99">
        <f t="shared" si="17"/>
        <v>-7274826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129</v>
      </c>
      <c r="H208" s="99">
        <f t="shared" si="15"/>
        <v>1</v>
      </c>
      <c r="I208" s="99">
        <f t="shared" si="13"/>
        <v>106240000</v>
      </c>
      <c r="J208" s="99">
        <f t="shared" si="20"/>
        <v>0</v>
      </c>
      <c r="K208" s="99">
        <f t="shared" si="17"/>
        <v>106240000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127</v>
      </c>
      <c r="H209" s="99">
        <f t="shared" si="15"/>
        <v>0</v>
      </c>
      <c r="I209" s="99">
        <f t="shared" si="13"/>
        <v>-6659880</v>
      </c>
      <c r="J209" s="99">
        <f t="shared" si="20"/>
        <v>0</v>
      </c>
      <c r="K209" s="99">
        <f t="shared" si="17"/>
        <v>-6659880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126</v>
      </c>
      <c r="H210" s="99">
        <f t="shared" si="15"/>
        <v>0</v>
      </c>
      <c r="I210" s="99">
        <f t="shared" si="13"/>
        <v>-6438600</v>
      </c>
      <c r="J210" s="99">
        <f t="shared" si="20"/>
        <v>0</v>
      </c>
      <c r="K210" s="99">
        <f t="shared" si="17"/>
        <v>-6438600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125</v>
      </c>
      <c r="H211" s="99">
        <f t="shared" si="15"/>
        <v>0</v>
      </c>
      <c r="I211" s="99">
        <f t="shared" si="13"/>
        <v>-25000000</v>
      </c>
      <c r="J211" s="99">
        <f t="shared" si="20"/>
        <v>0</v>
      </c>
      <c r="K211" s="99">
        <f t="shared" si="17"/>
        <v>-25000000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124</v>
      </c>
      <c r="H212" s="99">
        <f t="shared" si="15"/>
        <v>0</v>
      </c>
      <c r="I212" s="99">
        <f t="shared" si="13"/>
        <v>-3472000</v>
      </c>
      <c r="J212" s="99">
        <f t="shared" si="20"/>
        <v>0</v>
      </c>
      <c r="K212" s="99">
        <f t="shared" si="17"/>
        <v>-3472000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123</v>
      </c>
      <c r="H213" s="99">
        <f t="shared" si="15"/>
        <v>0</v>
      </c>
      <c r="I213" s="99">
        <f t="shared" si="13"/>
        <v>-7269300</v>
      </c>
      <c r="J213" s="99">
        <f t="shared" si="20"/>
        <v>0</v>
      </c>
      <c r="K213" s="99">
        <f t="shared" si="17"/>
        <v>-7269300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122</v>
      </c>
      <c r="H214" s="99">
        <f t="shared" si="15"/>
        <v>0</v>
      </c>
      <c r="I214" s="99">
        <f t="shared" si="13"/>
        <v>-3660000</v>
      </c>
      <c r="J214" s="99">
        <f t="shared" si="20"/>
        <v>0</v>
      </c>
      <c r="K214" s="99">
        <f t="shared" si="17"/>
        <v>-3660000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122</v>
      </c>
      <c r="H215" s="99">
        <f t="shared" si="15"/>
        <v>0</v>
      </c>
      <c r="I215" s="99">
        <f t="shared" si="13"/>
        <v>-21716000</v>
      </c>
      <c r="J215" s="99">
        <f t="shared" si="20"/>
        <v>0</v>
      </c>
      <c r="K215" s="99">
        <f t="shared" si="17"/>
        <v>-21716000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121</v>
      </c>
      <c r="H216" s="99">
        <f t="shared" si="15"/>
        <v>0</v>
      </c>
      <c r="I216" s="99">
        <f t="shared" si="13"/>
        <v>-11568810</v>
      </c>
      <c r="J216" s="99">
        <f t="shared" si="20"/>
        <v>0</v>
      </c>
      <c r="K216" s="99">
        <f t="shared" si="17"/>
        <v>-11568810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118</v>
      </c>
      <c r="H217" s="99">
        <f t="shared" si="15"/>
        <v>0</v>
      </c>
      <c r="I217" s="99">
        <f t="shared" si="13"/>
        <v>-9912000</v>
      </c>
      <c r="J217" s="99">
        <f t="shared" si="20"/>
        <v>0</v>
      </c>
      <c r="K217" s="99">
        <f t="shared" si="17"/>
        <v>-9912000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116</v>
      </c>
      <c r="H218" s="99">
        <f t="shared" si="15"/>
        <v>0</v>
      </c>
      <c r="I218" s="99">
        <f t="shared" si="13"/>
        <v>-3828000</v>
      </c>
      <c r="J218" s="99">
        <f t="shared" si="20"/>
        <v>0</v>
      </c>
      <c r="K218" s="99">
        <f t="shared" si="17"/>
        <v>-3828000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113</v>
      </c>
      <c r="H219" s="99">
        <f t="shared" si="15"/>
        <v>1</v>
      </c>
      <c r="I219" s="99">
        <f t="shared" si="13"/>
        <v>173376000</v>
      </c>
      <c r="J219" s="99">
        <f t="shared" si="20"/>
        <v>0</v>
      </c>
      <c r="K219" s="99">
        <f t="shared" si="17"/>
        <v>173376000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112</v>
      </c>
      <c r="H220" s="99">
        <f t="shared" si="15"/>
        <v>0</v>
      </c>
      <c r="I220" s="99">
        <f t="shared" si="13"/>
        <v>-156878400</v>
      </c>
      <c r="J220" s="99">
        <f t="shared" si="20"/>
        <v>0</v>
      </c>
      <c r="K220" s="99">
        <f t="shared" si="17"/>
        <v>-156878400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112</v>
      </c>
      <c r="H221" s="99">
        <f t="shared" si="15"/>
        <v>0</v>
      </c>
      <c r="I221" s="99">
        <f t="shared" si="13"/>
        <v>-1120000</v>
      </c>
      <c r="J221" s="99">
        <f t="shared" si="20"/>
        <v>0</v>
      </c>
      <c r="K221" s="99">
        <f t="shared" si="17"/>
        <v>-1120000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112</v>
      </c>
      <c r="H222" s="99">
        <f t="shared" si="15"/>
        <v>0</v>
      </c>
      <c r="I222" s="99">
        <f t="shared" si="13"/>
        <v>-560000</v>
      </c>
      <c r="J222" s="99">
        <f t="shared" si="20"/>
        <v>-280000</v>
      </c>
      <c r="K222" s="99">
        <f t="shared" si="17"/>
        <v>-280000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106</v>
      </c>
      <c r="H223" s="99">
        <f t="shared" si="15"/>
        <v>0</v>
      </c>
      <c r="I223" s="99">
        <f t="shared" si="13"/>
        <v>-20140000</v>
      </c>
      <c r="J223" s="99">
        <f t="shared" si="20"/>
        <v>0</v>
      </c>
      <c r="K223" s="99">
        <f t="shared" si="17"/>
        <v>-20140000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99</v>
      </c>
      <c r="H224" s="99">
        <f t="shared" si="15"/>
        <v>1</v>
      </c>
      <c r="I224" s="99">
        <f t="shared" si="13"/>
        <v>187278</v>
      </c>
      <c r="J224" s="99">
        <f t="shared" si="20"/>
        <v>6367256</v>
      </c>
      <c r="K224" s="99">
        <f t="shared" si="17"/>
        <v>-6179978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93</v>
      </c>
      <c r="H225" s="99">
        <f t="shared" si="15"/>
        <v>1</v>
      </c>
      <c r="I225" s="99">
        <f t="shared" si="13"/>
        <v>460000000</v>
      </c>
      <c r="J225" s="99">
        <f t="shared" si="20"/>
        <v>0</v>
      </c>
      <c r="K225" s="99">
        <f t="shared" si="17"/>
        <v>460000000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92</v>
      </c>
      <c r="H226" s="99">
        <f t="shared" si="15"/>
        <v>0</v>
      </c>
      <c r="I226" s="99">
        <f t="shared" si="13"/>
        <v>-294400000</v>
      </c>
      <c r="J226" s="99">
        <f t="shared" si="20"/>
        <v>0</v>
      </c>
      <c r="K226" s="99">
        <f t="shared" si="17"/>
        <v>-294400000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92</v>
      </c>
      <c r="H227" s="99">
        <f t="shared" si="15"/>
        <v>1</v>
      </c>
      <c r="I227" s="99">
        <f t="shared" si="13"/>
        <v>218400000</v>
      </c>
      <c r="J227" s="99">
        <f t="shared" si="20"/>
        <v>0</v>
      </c>
      <c r="K227" s="99">
        <f t="shared" si="17"/>
        <v>218400000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90</v>
      </c>
      <c r="H228" s="99">
        <f t="shared" si="15"/>
        <v>0</v>
      </c>
      <c r="I228" s="99">
        <f t="shared" si="13"/>
        <v>-4500000</v>
      </c>
      <c r="J228" s="99">
        <f t="shared" si="20"/>
        <v>0</v>
      </c>
      <c r="K228" s="99">
        <f t="shared" si="17"/>
        <v>-4500000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89</v>
      </c>
      <c r="H229" s="99">
        <f t="shared" si="15"/>
        <v>0</v>
      </c>
      <c r="I229" s="99">
        <f t="shared" si="13"/>
        <v>-364962300</v>
      </c>
      <c r="J229" s="99">
        <f t="shared" si="20"/>
        <v>0</v>
      </c>
      <c r="K229" s="99">
        <f t="shared" si="17"/>
        <v>-364962300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85</v>
      </c>
      <c r="H230" s="99">
        <f t="shared" si="15"/>
        <v>1</v>
      </c>
      <c r="I230" s="99">
        <f t="shared" si="13"/>
        <v>814800000</v>
      </c>
      <c r="J230" s="99">
        <f t="shared" si="20"/>
        <v>0</v>
      </c>
      <c r="K230" s="99">
        <f t="shared" si="17"/>
        <v>814800000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85</v>
      </c>
      <c r="H231" s="99">
        <f t="shared" si="15"/>
        <v>0</v>
      </c>
      <c r="I231" s="99">
        <f t="shared" si="13"/>
        <v>-255076500</v>
      </c>
      <c r="J231" s="99">
        <f t="shared" si="20"/>
        <v>0</v>
      </c>
      <c r="K231" s="99">
        <f t="shared" si="17"/>
        <v>-255076500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84</v>
      </c>
      <c r="H232" s="99">
        <f t="shared" si="15"/>
        <v>0</v>
      </c>
      <c r="I232" s="99">
        <f t="shared" si="13"/>
        <v>-252075600</v>
      </c>
      <c r="J232" s="99">
        <f t="shared" si="20"/>
        <v>0</v>
      </c>
      <c r="K232" s="99">
        <f t="shared" si="17"/>
        <v>-252075600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84</v>
      </c>
      <c r="H233" s="99">
        <f t="shared" si="15"/>
        <v>0</v>
      </c>
      <c r="I233" s="99">
        <f t="shared" si="13"/>
        <v>-46620000</v>
      </c>
      <c r="J233" s="99">
        <f t="shared" si="20"/>
        <v>0</v>
      </c>
      <c r="K233" s="99">
        <f t="shared" si="17"/>
        <v>-46620000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83</v>
      </c>
      <c r="H234" s="99">
        <f t="shared" si="15"/>
        <v>0</v>
      </c>
      <c r="I234" s="99">
        <f t="shared" si="13"/>
        <v>-11483880</v>
      </c>
      <c r="J234" s="99">
        <f t="shared" si="20"/>
        <v>0</v>
      </c>
      <c r="K234" s="99">
        <f t="shared" si="17"/>
        <v>-11483880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82</v>
      </c>
      <c r="H235" s="99">
        <f t="shared" si="15"/>
        <v>0</v>
      </c>
      <c r="I235" s="99">
        <f t="shared" si="13"/>
        <v>-246073800</v>
      </c>
      <c r="J235" s="99">
        <f t="shared" si="20"/>
        <v>0</v>
      </c>
      <c r="K235" s="99">
        <f t="shared" si="17"/>
        <v>-246073800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80</v>
      </c>
      <c r="H236" s="99">
        <f t="shared" si="15"/>
        <v>0</v>
      </c>
      <c r="I236" s="99">
        <f t="shared" si="13"/>
        <v>-4400000</v>
      </c>
      <c r="J236" s="99">
        <f t="shared" si="20"/>
        <v>0</v>
      </c>
      <c r="K236" s="99">
        <f t="shared" si="17"/>
        <v>-4400000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76</v>
      </c>
      <c r="H237" s="99">
        <f t="shared" si="15"/>
        <v>1</v>
      </c>
      <c r="I237" s="99">
        <f t="shared" si="13"/>
        <v>452625000</v>
      </c>
      <c r="J237" s="99">
        <f t="shared" si="20"/>
        <v>0</v>
      </c>
      <c r="K237" s="99">
        <f t="shared" si="17"/>
        <v>452625000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74</v>
      </c>
      <c r="H238" s="99">
        <f t="shared" si="15"/>
        <v>0</v>
      </c>
      <c r="I238" s="99">
        <f t="shared" si="13"/>
        <v>-555000</v>
      </c>
      <c r="J238" s="99">
        <f t="shared" si="20"/>
        <v>0</v>
      </c>
      <c r="K238" s="99">
        <f t="shared" si="17"/>
        <v>-555000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73</v>
      </c>
      <c r="H239" s="99">
        <f t="shared" si="15"/>
        <v>0</v>
      </c>
      <c r="I239" s="99">
        <f t="shared" si="13"/>
        <v>-299192179</v>
      </c>
      <c r="J239" s="99">
        <f t="shared" si="20"/>
        <v>0</v>
      </c>
      <c r="K239" s="99">
        <f t="shared" si="17"/>
        <v>-299192179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73</v>
      </c>
      <c r="H240" s="99">
        <f t="shared" si="15"/>
        <v>0</v>
      </c>
      <c r="I240" s="99">
        <f t="shared" si="13"/>
        <v>-2425425</v>
      </c>
      <c r="J240" s="99">
        <f t="shared" si="20"/>
        <v>0</v>
      </c>
      <c r="K240" s="99">
        <f t="shared" si="17"/>
        <v>-2425425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73</v>
      </c>
      <c r="H241" s="99">
        <f t="shared" si="15"/>
        <v>0</v>
      </c>
      <c r="I241" s="99">
        <f t="shared" si="13"/>
        <v>-138335000</v>
      </c>
      <c r="J241" s="99">
        <f t="shared" si="20"/>
        <v>0</v>
      </c>
      <c r="K241" s="99">
        <f t="shared" si="17"/>
        <v>-138335000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66</v>
      </c>
      <c r="H242" s="99">
        <f t="shared" si="15"/>
        <v>1</v>
      </c>
      <c r="I242" s="99">
        <f t="shared" si="13"/>
        <v>162500000</v>
      </c>
      <c r="J242" s="99">
        <f t="shared" si="20"/>
        <v>0</v>
      </c>
      <c r="K242" s="99">
        <f t="shared" si="17"/>
        <v>162500000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64</v>
      </c>
      <c r="H243" s="99">
        <f t="shared" si="15"/>
        <v>0</v>
      </c>
      <c r="I243" s="99">
        <f t="shared" si="13"/>
        <v>-160000000</v>
      </c>
      <c r="J243" s="99">
        <f t="shared" si="20"/>
        <v>0</v>
      </c>
      <c r="K243" s="99">
        <f t="shared" si="17"/>
        <v>-160000000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62</v>
      </c>
      <c r="H244" s="99">
        <f t="shared" si="15"/>
        <v>1</v>
      </c>
      <c r="I244" s="99">
        <f t="shared" si="13"/>
        <v>67100000</v>
      </c>
      <c r="J244" s="99">
        <f t="shared" si="20"/>
        <v>0</v>
      </c>
      <c r="K244" s="99">
        <f t="shared" si="17"/>
        <v>67100000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60</v>
      </c>
      <c r="H245" s="99">
        <f t="shared" si="15"/>
        <v>1</v>
      </c>
      <c r="I245" s="99">
        <f t="shared" si="13"/>
        <v>177000000</v>
      </c>
      <c r="J245" s="99">
        <f t="shared" si="20"/>
        <v>0</v>
      </c>
      <c r="K245" s="99">
        <f t="shared" si="17"/>
        <v>177000000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58</v>
      </c>
      <c r="H246" s="99">
        <f t="shared" si="15"/>
        <v>0</v>
      </c>
      <c r="I246" s="99">
        <f t="shared" si="13"/>
        <v>-234360600</v>
      </c>
      <c r="J246" s="99">
        <f t="shared" si="20"/>
        <v>0</v>
      </c>
      <c r="K246" s="99">
        <f t="shared" si="17"/>
        <v>-234360600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58</v>
      </c>
      <c r="H247" s="99">
        <f t="shared" si="15"/>
        <v>1</v>
      </c>
      <c r="I247" s="99">
        <f t="shared" si="13"/>
        <v>27930000</v>
      </c>
      <c r="J247" s="99">
        <f t="shared" si="20"/>
        <v>0</v>
      </c>
      <c r="K247" s="99">
        <f t="shared" si="17"/>
        <v>27930000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57</v>
      </c>
      <c r="H248" s="99">
        <f t="shared" si="15"/>
        <v>1</v>
      </c>
      <c r="I248" s="99">
        <f t="shared" si="13"/>
        <v>78400000</v>
      </c>
      <c r="J248" s="99">
        <f t="shared" si="20"/>
        <v>0</v>
      </c>
      <c r="K248" s="99">
        <f t="shared" si="17"/>
        <v>78400000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57</v>
      </c>
      <c r="H249" s="99">
        <f t="shared" si="15"/>
        <v>0</v>
      </c>
      <c r="I249" s="99">
        <f t="shared" si="13"/>
        <v>-85500000</v>
      </c>
      <c r="J249" s="99">
        <f t="shared" si="20"/>
        <v>0</v>
      </c>
      <c r="K249" s="99">
        <f t="shared" si="17"/>
        <v>-85500000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56</v>
      </c>
      <c r="H250" s="99">
        <f t="shared" si="15"/>
        <v>0</v>
      </c>
      <c r="I250" s="99">
        <f t="shared" si="13"/>
        <v>-5600000</v>
      </c>
      <c r="J250" s="99">
        <f t="shared" si="20"/>
        <v>0</v>
      </c>
      <c r="K250" s="99">
        <f t="shared" si="17"/>
        <v>-5600000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55</v>
      </c>
      <c r="H251" s="99">
        <f t="shared" si="15"/>
        <v>0</v>
      </c>
      <c r="I251" s="99">
        <f t="shared" si="13"/>
        <v>-764500</v>
      </c>
      <c r="J251" s="99">
        <f t="shared" si="20"/>
        <v>0</v>
      </c>
      <c r="K251" s="99">
        <f t="shared" si="17"/>
        <v>-764500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55</v>
      </c>
      <c r="H252" s="99">
        <f t="shared" si="15"/>
        <v>1</v>
      </c>
      <c r="I252" s="99">
        <f t="shared" si="13"/>
        <v>16200000</v>
      </c>
      <c r="J252" s="99">
        <f t="shared" si="20"/>
        <v>0</v>
      </c>
      <c r="K252" s="99">
        <f t="shared" si="17"/>
        <v>16200000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53</v>
      </c>
      <c r="H253" s="99">
        <f t="shared" si="15"/>
        <v>1</v>
      </c>
      <c r="I253" s="99">
        <f t="shared" si="13"/>
        <v>624000000</v>
      </c>
      <c r="J253" s="99">
        <f t="shared" si="20"/>
        <v>0</v>
      </c>
      <c r="K253" s="99">
        <f t="shared" si="17"/>
        <v>624000000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52</v>
      </c>
      <c r="H254" s="99">
        <f t="shared" si="15"/>
        <v>1</v>
      </c>
      <c r="I254" s="99">
        <f t="shared" si="13"/>
        <v>153000000</v>
      </c>
      <c r="J254" s="99">
        <f t="shared" si="20"/>
        <v>0</v>
      </c>
      <c r="K254" s="99">
        <f t="shared" si="17"/>
        <v>153000000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51</v>
      </c>
      <c r="H255" s="99">
        <f t="shared" si="15"/>
        <v>0</v>
      </c>
      <c r="I255" s="99">
        <f t="shared" si="13"/>
        <v>-714000000</v>
      </c>
      <c r="J255" s="99">
        <f t="shared" si="20"/>
        <v>0</v>
      </c>
      <c r="K255" s="99">
        <f t="shared" si="17"/>
        <v>-714000000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50</v>
      </c>
      <c r="H256" s="99">
        <f t="shared" si="15"/>
        <v>0</v>
      </c>
      <c r="I256" s="99">
        <f t="shared" si="13"/>
        <v>-6248450</v>
      </c>
      <c r="J256" s="99">
        <f t="shared" si="20"/>
        <v>0</v>
      </c>
      <c r="K256" s="99">
        <f t="shared" si="17"/>
        <v>-6248450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50</v>
      </c>
      <c r="H257" s="99">
        <f t="shared" si="15"/>
        <v>0</v>
      </c>
      <c r="I257" s="99">
        <f t="shared" si="13"/>
        <v>0</v>
      </c>
      <c r="J257" s="99">
        <f t="shared" si="20"/>
        <v>-398439450</v>
      </c>
      <c r="K257" s="99">
        <f t="shared" si="17"/>
        <v>398439450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49</v>
      </c>
      <c r="H258" s="99">
        <f t="shared" si="15"/>
        <v>0</v>
      </c>
      <c r="I258" s="99">
        <f t="shared" si="13"/>
        <v>-64337000</v>
      </c>
      <c r="J258" s="99">
        <f t="shared" si="20"/>
        <v>0</v>
      </c>
      <c r="K258" s="99">
        <f t="shared" si="17"/>
        <v>-64337000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46</v>
      </c>
      <c r="H259" s="99">
        <f t="shared" si="15"/>
        <v>1</v>
      </c>
      <c r="I259" s="99">
        <f t="shared" si="13"/>
        <v>90000000</v>
      </c>
      <c r="J259" s="99">
        <f t="shared" si="20"/>
        <v>0</v>
      </c>
      <c r="K259" s="99">
        <f t="shared" si="17"/>
        <v>90000000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45</v>
      </c>
      <c r="H260" s="99">
        <f t="shared" si="15"/>
        <v>0</v>
      </c>
      <c r="I260" s="99">
        <f t="shared" si="13"/>
        <v>-85500000</v>
      </c>
      <c r="J260" s="99">
        <f t="shared" si="20"/>
        <v>0</v>
      </c>
      <c r="K260" s="99">
        <f t="shared" si="17"/>
        <v>-85500000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45</v>
      </c>
      <c r="H261" s="99">
        <f t="shared" si="15"/>
        <v>0</v>
      </c>
      <c r="I261" s="99">
        <f t="shared" si="13"/>
        <v>-4522500</v>
      </c>
      <c r="J261" s="99">
        <f t="shared" si="20"/>
        <v>0</v>
      </c>
      <c r="K261" s="99">
        <f t="shared" si="17"/>
        <v>-4522500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45</v>
      </c>
      <c r="H262" s="99">
        <f t="shared" si="15"/>
        <v>0</v>
      </c>
      <c r="I262" s="99">
        <f t="shared" si="13"/>
        <v>-3090150</v>
      </c>
      <c r="J262" s="99">
        <f t="shared" si="20"/>
        <v>0</v>
      </c>
      <c r="K262" s="99">
        <f t="shared" si="17"/>
        <v>-3090150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44</v>
      </c>
      <c r="H263" s="99">
        <f t="shared" si="15"/>
        <v>0</v>
      </c>
      <c r="I263" s="99">
        <f t="shared" si="13"/>
        <v>-5218400</v>
      </c>
      <c r="J263" s="99">
        <f t="shared" si="20"/>
        <v>0</v>
      </c>
      <c r="K263" s="99">
        <f t="shared" si="17"/>
        <v>-5218400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42</v>
      </c>
      <c r="H264" s="99">
        <f t="shared" si="15"/>
        <v>1</v>
      </c>
      <c r="I264" s="99">
        <f t="shared" si="13"/>
        <v>277939000</v>
      </c>
      <c r="J264" s="99">
        <f t="shared" si="20"/>
        <v>0</v>
      </c>
      <c r="K264" s="99">
        <f t="shared" si="17"/>
        <v>277939000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42</v>
      </c>
      <c r="H265" s="99">
        <f t="shared" si="15"/>
        <v>0</v>
      </c>
      <c r="I265" s="99">
        <f t="shared" si="13"/>
        <v>-268800000</v>
      </c>
      <c r="J265" s="99">
        <f t="shared" si="20"/>
        <v>0</v>
      </c>
      <c r="K265" s="99">
        <f t="shared" si="17"/>
        <v>-268800000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42</v>
      </c>
      <c r="H266" s="99">
        <f t="shared" si="15"/>
        <v>0</v>
      </c>
      <c r="I266" s="99">
        <f t="shared" si="13"/>
        <v>-16338000</v>
      </c>
      <c r="J266" s="99">
        <f t="shared" si="20"/>
        <v>0</v>
      </c>
      <c r="K266" s="99">
        <f t="shared" si="17"/>
        <v>-16338000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38</v>
      </c>
      <c r="H267" s="99">
        <f t="shared" si="15"/>
        <v>1</v>
      </c>
      <c r="I267" s="99">
        <f t="shared" si="13"/>
        <v>8140000</v>
      </c>
      <c r="J267" s="99">
        <f t="shared" si="20"/>
        <v>0</v>
      </c>
      <c r="K267" s="99">
        <f t="shared" si="17"/>
        <v>8140000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38</v>
      </c>
      <c r="H268" s="99">
        <f t="shared" si="15"/>
        <v>0</v>
      </c>
      <c r="I268" s="99">
        <f t="shared" si="13"/>
        <v>-4156820</v>
      </c>
      <c r="J268" s="99">
        <f t="shared" si="20"/>
        <v>0</v>
      </c>
      <c r="K268" s="99">
        <f t="shared" si="17"/>
        <v>-4156820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36</v>
      </c>
      <c r="H269" s="99">
        <f t="shared" si="15"/>
        <v>1</v>
      </c>
      <c r="I269" s="99">
        <f t="shared" si="13"/>
        <v>3500000</v>
      </c>
      <c r="J269" s="99">
        <f t="shared" si="20"/>
        <v>0</v>
      </c>
      <c r="K269" s="99">
        <f t="shared" si="17"/>
        <v>3500000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36</v>
      </c>
      <c r="H270" s="99">
        <f t="shared" si="15"/>
        <v>1</v>
      </c>
      <c r="I270" s="99">
        <f t="shared" si="13"/>
        <v>91000000</v>
      </c>
      <c r="J270" s="99">
        <f t="shared" si="20"/>
        <v>0</v>
      </c>
      <c r="K270" s="99">
        <f t="shared" si="17"/>
        <v>91000000</v>
      </c>
      <c r="L270" t="s">
        <v>25</v>
      </c>
    </row>
    <row r="271" spans="1:13">
      <c r="A271" s="99" t="s">
        <v>4575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35</v>
      </c>
      <c r="H271" s="99">
        <f t="shared" si="15"/>
        <v>1</v>
      </c>
      <c r="I271" s="99">
        <f t="shared" si="13"/>
        <v>149600000</v>
      </c>
      <c r="J271" s="99">
        <f t="shared" si="20"/>
        <v>0</v>
      </c>
      <c r="K271" s="99">
        <f t="shared" si="17"/>
        <v>149600000</v>
      </c>
    </row>
    <row r="272" spans="1:13">
      <c r="A272" s="99" t="s">
        <v>4575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35</v>
      </c>
      <c r="H272" s="99">
        <f t="shared" si="15"/>
        <v>0</v>
      </c>
      <c r="I272" s="99">
        <f t="shared" si="13"/>
        <v>-3325000</v>
      </c>
      <c r="J272" s="99">
        <f t="shared" si="20"/>
        <v>0</v>
      </c>
      <c r="K272" s="99">
        <f t="shared" si="17"/>
        <v>-3325000</v>
      </c>
    </row>
    <row r="273" spans="1:12">
      <c r="A273" s="99" t="s">
        <v>4580</v>
      </c>
      <c r="B273" s="18">
        <v>-900000</v>
      </c>
      <c r="C273" s="18">
        <v>0</v>
      </c>
      <c r="D273" s="18">
        <f t="shared" si="18"/>
        <v>-900000</v>
      </c>
      <c r="E273" s="99" t="s">
        <v>4587</v>
      </c>
      <c r="F273" s="99">
        <v>1</v>
      </c>
      <c r="G273" s="36">
        <f t="shared" si="21"/>
        <v>34</v>
      </c>
      <c r="H273" s="99">
        <f t="shared" si="15"/>
        <v>0</v>
      </c>
      <c r="I273" s="99">
        <f t="shared" si="13"/>
        <v>-30600000</v>
      </c>
      <c r="J273" s="99">
        <f t="shared" si="20"/>
        <v>0</v>
      </c>
      <c r="K273" s="99">
        <f t="shared" si="17"/>
        <v>-30600000</v>
      </c>
    </row>
    <row r="274" spans="1:12">
      <c r="A274" s="99" t="s">
        <v>4584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33</v>
      </c>
      <c r="H274" s="99">
        <f t="shared" si="15"/>
        <v>1</v>
      </c>
      <c r="I274" s="99">
        <f t="shared" si="13"/>
        <v>80000000</v>
      </c>
      <c r="J274" s="99">
        <f t="shared" si="20"/>
        <v>0</v>
      </c>
      <c r="K274" s="99">
        <f t="shared" si="17"/>
        <v>80000000</v>
      </c>
    </row>
    <row r="275" spans="1:12">
      <c r="A275" s="99" t="s">
        <v>4584</v>
      </c>
      <c r="B275" s="18">
        <v>-1287000</v>
      </c>
      <c r="C275" s="18">
        <v>0</v>
      </c>
      <c r="D275" s="18">
        <f t="shared" si="18"/>
        <v>-1287000</v>
      </c>
      <c r="E275" s="99" t="s">
        <v>4585</v>
      </c>
      <c r="F275" s="99">
        <v>2</v>
      </c>
      <c r="G275" s="36">
        <f t="shared" si="21"/>
        <v>33</v>
      </c>
      <c r="H275" s="99">
        <f t="shared" si="15"/>
        <v>0</v>
      </c>
      <c r="I275" s="99">
        <f t="shared" si="13"/>
        <v>-42471000</v>
      </c>
      <c r="J275" s="99">
        <f t="shared" si="20"/>
        <v>0</v>
      </c>
      <c r="K275" s="99">
        <f t="shared" si="17"/>
        <v>-42471000</v>
      </c>
    </row>
    <row r="276" spans="1:12">
      <c r="A276" s="99" t="s">
        <v>4581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31</v>
      </c>
      <c r="H276" s="99">
        <f t="shared" si="15"/>
        <v>1</v>
      </c>
      <c r="I276" s="99">
        <f t="shared" si="13"/>
        <v>114000000</v>
      </c>
      <c r="J276" s="99">
        <f t="shared" si="20"/>
        <v>0</v>
      </c>
      <c r="K276" s="99">
        <f t="shared" si="17"/>
        <v>114000000</v>
      </c>
    </row>
    <row r="277" spans="1:12">
      <c r="A277" s="99" t="s">
        <v>4594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30</v>
      </c>
      <c r="H277" s="99">
        <f t="shared" si="15"/>
        <v>1</v>
      </c>
      <c r="I277" s="99">
        <f t="shared" si="13"/>
        <v>609000000</v>
      </c>
      <c r="J277" s="99">
        <f t="shared" si="20"/>
        <v>0</v>
      </c>
      <c r="K277" s="99">
        <f t="shared" si="17"/>
        <v>609000000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29</v>
      </c>
      <c r="H278" s="99">
        <f t="shared" si="15"/>
        <v>1</v>
      </c>
      <c r="I278" s="99">
        <f t="shared" si="13"/>
        <v>84000000</v>
      </c>
      <c r="J278" s="99">
        <f t="shared" si="20"/>
        <v>0</v>
      </c>
      <c r="K278" s="99">
        <f t="shared" si="17"/>
        <v>84000000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29</v>
      </c>
      <c r="H279" s="99">
        <f t="shared" si="15"/>
        <v>1</v>
      </c>
      <c r="I279" s="99">
        <f t="shared" si="13"/>
        <v>56000000</v>
      </c>
      <c r="J279" s="99">
        <f t="shared" si="20"/>
        <v>0</v>
      </c>
      <c r="K279" s="99">
        <f t="shared" si="17"/>
        <v>56000000</v>
      </c>
    </row>
    <row r="280" spans="1:12">
      <c r="A280" s="99" t="s">
        <v>4601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28</v>
      </c>
      <c r="H280" s="99">
        <f t="shared" si="15"/>
        <v>0</v>
      </c>
      <c r="I280" s="99">
        <f t="shared" si="13"/>
        <v>-56000000</v>
      </c>
      <c r="J280" s="99">
        <f t="shared" si="20"/>
        <v>0</v>
      </c>
      <c r="K280" s="99">
        <f t="shared" si="17"/>
        <v>-56000000</v>
      </c>
    </row>
    <row r="281" spans="1:12">
      <c r="A281" s="99" t="s">
        <v>4603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27</v>
      </c>
      <c r="H281" s="99">
        <f t="shared" si="15"/>
        <v>0</v>
      </c>
      <c r="I281" s="99">
        <f t="shared" si="13"/>
        <v>-270000000</v>
      </c>
      <c r="J281" s="99">
        <f t="shared" si="20"/>
        <v>0</v>
      </c>
      <c r="K281" s="99">
        <f t="shared" si="17"/>
        <v>-270000000</v>
      </c>
    </row>
    <row r="282" spans="1:12">
      <c r="A282" s="99" t="s">
        <v>4605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23</v>
      </c>
      <c r="H282" s="99">
        <f t="shared" si="15"/>
        <v>0</v>
      </c>
      <c r="I282" s="99">
        <f t="shared" si="13"/>
        <v>-384100000</v>
      </c>
      <c r="J282" s="99">
        <f t="shared" ref="J282:J296" si="22">C282*(G282-H282)</f>
        <v>0</v>
      </c>
      <c r="K282" s="99">
        <f t="shared" ref="K282:K296" si="23">D282*(G282-H282)</f>
        <v>-384100000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21</v>
      </c>
      <c r="H283" s="99">
        <f t="shared" si="15"/>
        <v>1</v>
      </c>
      <c r="I283" s="99">
        <f t="shared" si="13"/>
        <v>240000000</v>
      </c>
      <c r="J283" s="99">
        <f t="shared" si="22"/>
        <v>0</v>
      </c>
      <c r="K283" s="99">
        <f t="shared" si="23"/>
        <v>240000000</v>
      </c>
    </row>
    <row r="284" spans="1:12">
      <c r="A284" s="99" t="s">
        <v>4620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20</v>
      </c>
      <c r="H284" s="99">
        <f t="shared" si="15"/>
        <v>1</v>
      </c>
      <c r="I284" s="99">
        <f t="shared" si="13"/>
        <v>36100000</v>
      </c>
      <c r="J284" s="99">
        <f t="shared" si="22"/>
        <v>0</v>
      </c>
      <c r="K284" s="99">
        <f t="shared" si="23"/>
        <v>36100000</v>
      </c>
    </row>
    <row r="285" spans="1:12">
      <c r="A285" s="99" t="s">
        <v>4620</v>
      </c>
      <c r="B285" s="18">
        <v>-3995000</v>
      </c>
      <c r="C285" s="18">
        <v>0</v>
      </c>
      <c r="D285" s="18">
        <f t="shared" si="18"/>
        <v>-3995000</v>
      </c>
      <c r="E285" s="99" t="s">
        <v>4622</v>
      </c>
      <c r="F285" s="99">
        <v>3</v>
      </c>
      <c r="G285" s="36">
        <f t="shared" si="21"/>
        <v>20</v>
      </c>
      <c r="H285" s="99">
        <f t="shared" si="15"/>
        <v>0</v>
      </c>
      <c r="I285" s="99">
        <f t="shared" si="13"/>
        <v>-79900000</v>
      </c>
      <c r="J285" s="99">
        <f t="shared" si="22"/>
        <v>0</v>
      </c>
      <c r="K285" s="99">
        <f t="shared" si="23"/>
        <v>-79900000</v>
      </c>
    </row>
    <row r="286" spans="1:12">
      <c r="A286" s="99" t="s">
        <v>4630</v>
      </c>
      <c r="B286" s="18">
        <v>-2010700</v>
      </c>
      <c r="C286" s="18">
        <v>0</v>
      </c>
      <c r="D286" s="18">
        <f t="shared" si="18"/>
        <v>-2010700</v>
      </c>
      <c r="E286" s="99" t="s">
        <v>4635</v>
      </c>
      <c r="F286" s="99">
        <v>0</v>
      </c>
      <c r="G286" s="36">
        <f t="shared" si="21"/>
        <v>17</v>
      </c>
      <c r="H286" s="99">
        <f t="shared" si="15"/>
        <v>0</v>
      </c>
      <c r="I286" s="99">
        <f t="shared" si="13"/>
        <v>-34181900</v>
      </c>
      <c r="J286" s="99">
        <f t="shared" si="22"/>
        <v>0</v>
      </c>
      <c r="K286" s="99">
        <f t="shared" si="23"/>
        <v>-34181900</v>
      </c>
    </row>
    <row r="287" spans="1:12">
      <c r="A287" s="99" t="s">
        <v>4630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17</v>
      </c>
      <c r="H287" s="99">
        <f t="shared" si="15"/>
        <v>0</v>
      </c>
      <c r="I287" s="99">
        <f t="shared" si="13"/>
        <v>-68000000</v>
      </c>
      <c r="J287" s="99">
        <f t="shared" si="22"/>
        <v>0</v>
      </c>
      <c r="K287" s="99">
        <f t="shared" si="23"/>
        <v>-68000000</v>
      </c>
    </row>
    <row r="288" spans="1:12">
      <c r="A288" s="99" t="s">
        <v>4636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16</v>
      </c>
      <c r="H288" s="99">
        <f t="shared" si="15"/>
        <v>0</v>
      </c>
      <c r="I288" s="99">
        <f t="shared" si="13"/>
        <v>-91200000</v>
      </c>
      <c r="J288" s="99">
        <f t="shared" si="22"/>
        <v>0</v>
      </c>
      <c r="K288" s="99">
        <f t="shared" si="23"/>
        <v>-91200000</v>
      </c>
      <c r="L288" t="s">
        <v>25</v>
      </c>
    </row>
    <row r="289" spans="1:13">
      <c r="A289" s="99" t="s">
        <v>4646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14</v>
      </c>
      <c r="H289" s="99">
        <f t="shared" si="15"/>
        <v>1</v>
      </c>
      <c r="I289" s="99">
        <f t="shared" si="13"/>
        <v>104000000</v>
      </c>
      <c r="J289" s="99">
        <f t="shared" si="22"/>
        <v>0</v>
      </c>
      <c r="K289" s="99">
        <f t="shared" si="23"/>
        <v>104000000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13</v>
      </c>
      <c r="H290" s="99">
        <f t="shared" si="15"/>
        <v>0</v>
      </c>
      <c r="I290" s="99">
        <f t="shared" si="13"/>
        <v>-104000000</v>
      </c>
      <c r="J290" s="99">
        <f t="shared" si="22"/>
        <v>0</v>
      </c>
      <c r="K290" s="99">
        <f t="shared" si="23"/>
        <v>-104000000</v>
      </c>
    </row>
    <row r="291" spans="1:13">
      <c r="A291" s="99" t="s">
        <v>4652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10</v>
      </c>
      <c r="H291" s="99">
        <f t="shared" si="15"/>
        <v>0</v>
      </c>
      <c r="I291" s="99">
        <f t="shared" si="13"/>
        <v>-60000000</v>
      </c>
      <c r="J291" s="99">
        <f t="shared" si="22"/>
        <v>0</v>
      </c>
      <c r="K291" s="99">
        <f t="shared" si="23"/>
        <v>-60000000</v>
      </c>
    </row>
    <row r="292" spans="1:13">
      <c r="A292" s="99" t="s">
        <v>4652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10</v>
      </c>
      <c r="H292" s="99">
        <f t="shared" si="15"/>
        <v>0</v>
      </c>
      <c r="I292" s="99">
        <f t="shared" si="13"/>
        <v>-773150</v>
      </c>
      <c r="J292" s="99">
        <f t="shared" si="22"/>
        <v>0</v>
      </c>
      <c r="K292" s="99">
        <f t="shared" si="23"/>
        <v>-773150</v>
      </c>
    </row>
    <row r="293" spans="1:13">
      <c r="A293" s="99" t="s">
        <v>4660</v>
      </c>
      <c r="B293" s="18">
        <v>-96850</v>
      </c>
      <c r="C293" s="18">
        <v>0</v>
      </c>
      <c r="D293" s="18">
        <f t="shared" si="18"/>
        <v>-96850</v>
      </c>
      <c r="E293" s="99" t="s">
        <v>4672</v>
      </c>
      <c r="F293" s="99">
        <v>2</v>
      </c>
      <c r="G293" s="36">
        <f t="shared" si="21"/>
        <v>9</v>
      </c>
      <c r="H293" s="99">
        <f t="shared" si="15"/>
        <v>0</v>
      </c>
      <c r="I293" s="99">
        <f t="shared" si="13"/>
        <v>-871650</v>
      </c>
      <c r="J293" s="99">
        <f t="shared" si="22"/>
        <v>0</v>
      </c>
      <c r="K293" s="99">
        <f t="shared" si="23"/>
        <v>-871650</v>
      </c>
    </row>
    <row r="294" spans="1:13">
      <c r="A294" s="99" t="s">
        <v>4676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7</v>
      </c>
      <c r="H294" s="99">
        <f t="shared" si="15"/>
        <v>0</v>
      </c>
      <c r="I294" s="99">
        <f t="shared" si="13"/>
        <v>-315000</v>
      </c>
      <c r="J294" s="99">
        <f t="shared" si="22"/>
        <v>0</v>
      </c>
      <c r="K294" s="99">
        <f t="shared" si="23"/>
        <v>-315000</v>
      </c>
    </row>
    <row r="295" spans="1:13">
      <c r="A295" s="99" t="s">
        <v>4676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7</v>
      </c>
      <c r="H295" s="99">
        <f t="shared" si="15"/>
        <v>0</v>
      </c>
      <c r="I295" s="99">
        <f t="shared" si="13"/>
        <v>-334936</v>
      </c>
      <c r="J295" s="99">
        <f t="shared" si="22"/>
        <v>0</v>
      </c>
      <c r="K295" s="99">
        <f t="shared" si="23"/>
        <v>-334936</v>
      </c>
      <c r="M295" t="s">
        <v>25</v>
      </c>
    </row>
    <row r="296" spans="1:13">
      <c r="A296" s="99" t="s">
        <v>4693</v>
      </c>
      <c r="B296" s="18">
        <v>-200000</v>
      </c>
      <c r="C296" s="18">
        <v>0</v>
      </c>
      <c r="D296" s="18">
        <f t="shared" si="18"/>
        <v>-200000</v>
      </c>
      <c r="E296" s="99" t="s">
        <v>4694</v>
      </c>
      <c r="F296" s="99">
        <v>3</v>
      </c>
      <c r="G296" s="36">
        <f t="shared" si="21"/>
        <v>6</v>
      </c>
      <c r="H296" s="99">
        <f t="shared" si="15"/>
        <v>0</v>
      </c>
      <c r="I296" s="99">
        <f t="shared" si="13"/>
        <v>-1200000</v>
      </c>
      <c r="J296" s="99">
        <f t="shared" si="22"/>
        <v>0</v>
      </c>
      <c r="K296" s="99">
        <f t="shared" si="23"/>
        <v>-1200000</v>
      </c>
    </row>
    <row r="297" spans="1:13">
      <c r="A297" s="99" t="s">
        <v>4710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3</v>
      </c>
      <c r="H297" s="99">
        <f t="shared" si="15"/>
        <v>0</v>
      </c>
      <c r="I297" s="99">
        <f t="shared" ref="I297:I312" si="24">B297*(G297-H297)</f>
        <v>-181380</v>
      </c>
      <c r="J297" s="99">
        <f t="shared" ref="J297:J312" si="25">C297*(G297-H297)</f>
        <v>0</v>
      </c>
      <c r="K297" s="99">
        <f t="shared" ref="K297:K312" si="26">D297*(G297-H297)</f>
        <v>-181380</v>
      </c>
    </row>
    <row r="298" spans="1:13">
      <c r="A298" s="99" t="s">
        <v>4716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2</v>
      </c>
      <c r="H298" s="99">
        <f t="shared" si="15"/>
        <v>0</v>
      </c>
      <c r="I298" s="99">
        <f t="shared" si="24"/>
        <v>-120000</v>
      </c>
      <c r="J298" s="99">
        <f t="shared" si="25"/>
        <v>0</v>
      </c>
      <c r="K298" s="99">
        <f t="shared" si="26"/>
        <v>-120000</v>
      </c>
    </row>
    <row r="299" spans="1:13">
      <c r="A299" s="99" t="s">
        <v>4716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2</v>
      </c>
      <c r="H299" s="99">
        <f t="shared" si="15"/>
        <v>1</v>
      </c>
      <c r="I299" s="99">
        <f t="shared" si="24"/>
        <v>2400000</v>
      </c>
      <c r="J299" s="99">
        <f t="shared" si="25"/>
        <v>0</v>
      </c>
      <c r="K299" s="99">
        <f t="shared" si="26"/>
        <v>2400000</v>
      </c>
    </row>
    <row r="300" spans="1:13">
      <c r="A300" s="99" t="s">
        <v>4716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2</v>
      </c>
      <c r="H300" s="99">
        <f t="shared" si="15"/>
        <v>0</v>
      </c>
      <c r="I300" s="99">
        <f t="shared" si="24"/>
        <v>-274326</v>
      </c>
      <c r="J300" s="99">
        <f t="shared" si="25"/>
        <v>0</v>
      </c>
      <c r="K300" s="99">
        <f t="shared" si="26"/>
        <v>-274326</v>
      </c>
      <c r="L300" t="s">
        <v>25</v>
      </c>
      <c r="M300" t="s">
        <v>25</v>
      </c>
    </row>
    <row r="301" spans="1:13">
      <c r="A301" s="99" t="s">
        <v>4716</v>
      </c>
      <c r="B301" s="18">
        <v>-51400</v>
      </c>
      <c r="C301" s="18">
        <v>0</v>
      </c>
      <c r="D301" s="18">
        <f t="shared" si="18"/>
        <v>-51400</v>
      </c>
      <c r="E301" s="99" t="s">
        <v>4724</v>
      </c>
      <c r="F301" s="99">
        <v>1</v>
      </c>
      <c r="G301" s="36">
        <f t="shared" si="27"/>
        <v>2</v>
      </c>
      <c r="H301" s="99">
        <f t="shared" si="15"/>
        <v>0</v>
      </c>
      <c r="I301" s="99">
        <f t="shared" si="24"/>
        <v>-102800</v>
      </c>
      <c r="J301" s="99">
        <f t="shared" si="25"/>
        <v>0</v>
      </c>
      <c r="K301" s="99">
        <f t="shared" si="26"/>
        <v>-102800</v>
      </c>
    </row>
    <row r="302" spans="1:13">
      <c r="A302" s="99" t="s">
        <v>4728</v>
      </c>
      <c r="B302" s="18">
        <v>-2250000</v>
      </c>
      <c r="C302" s="18">
        <v>0</v>
      </c>
      <c r="D302" s="18">
        <f t="shared" si="18"/>
        <v>-2250000</v>
      </c>
      <c r="E302" s="99" t="s">
        <v>3771</v>
      </c>
      <c r="F302" s="99">
        <v>0</v>
      </c>
      <c r="G302" s="36">
        <f t="shared" si="27"/>
        <v>1</v>
      </c>
      <c r="H302" s="99">
        <f t="shared" si="15"/>
        <v>0</v>
      </c>
      <c r="I302" s="99">
        <f t="shared" si="24"/>
        <v>-2250000</v>
      </c>
      <c r="J302" s="99">
        <f t="shared" si="25"/>
        <v>0</v>
      </c>
      <c r="K302" s="99">
        <f t="shared" si="26"/>
        <v>-2250000</v>
      </c>
      <c r="M302" t="s">
        <v>25</v>
      </c>
    </row>
    <row r="303" spans="1:13">
      <c r="A303" s="99" t="s">
        <v>4728</v>
      </c>
      <c r="B303" s="18">
        <v>700000</v>
      </c>
      <c r="C303" s="18">
        <v>0</v>
      </c>
      <c r="D303" s="18">
        <f t="shared" si="18"/>
        <v>700000</v>
      </c>
      <c r="E303" s="99" t="s">
        <v>3892</v>
      </c>
      <c r="F303" s="99">
        <v>1</v>
      </c>
      <c r="G303" s="36">
        <f t="shared" si="27"/>
        <v>1</v>
      </c>
      <c r="H303" s="99">
        <f t="shared" si="15"/>
        <v>1</v>
      </c>
      <c r="I303" s="99">
        <f t="shared" si="24"/>
        <v>0</v>
      </c>
      <c r="J303" s="99">
        <f t="shared" si="25"/>
        <v>0</v>
      </c>
      <c r="K303" s="99">
        <f t="shared" si="26"/>
        <v>0</v>
      </c>
    </row>
    <row r="304" spans="1:13">
      <c r="A304" s="99"/>
      <c r="B304" s="18"/>
      <c r="C304" s="18"/>
      <c r="D304" s="18"/>
      <c r="E304" s="99"/>
      <c r="F304" s="99"/>
      <c r="G304" s="36">
        <f t="shared" si="27"/>
        <v>0</v>
      </c>
      <c r="H304" s="99">
        <f t="shared" si="15"/>
        <v>0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804305</v>
      </c>
      <c r="C314" s="29">
        <f>SUM(C2:C313)</f>
        <v>0</v>
      </c>
      <c r="D314" s="29">
        <f>SUM(D2:D313)</f>
        <v>804305</v>
      </c>
      <c r="E314" s="11"/>
      <c r="F314" s="11"/>
      <c r="G314" s="11"/>
      <c r="H314" s="11"/>
      <c r="I314" s="29">
        <f>SUM(I2:I313)</f>
        <v>19171231349</v>
      </c>
      <c r="J314" s="29">
        <f>SUM(J2:J313)</f>
        <v>8687685429</v>
      </c>
      <c r="K314" s="29">
        <f>SUM(K2:K313)</f>
        <v>10483545920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18721905.614257812</v>
      </c>
      <c r="J317" s="29">
        <f>J314/G2</f>
        <v>8484067.8017578125</v>
      </c>
      <c r="K317" s="29">
        <f>K314/G2</f>
        <v>10237837.8125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2000944</v>
      </c>
      <c r="G321" t="s">
        <v>25</v>
      </c>
      <c r="J321">
        <f>J314/I314*1448696</f>
        <v>656494.87511437701</v>
      </c>
      <c r="K321">
        <f>K314/I314*1448696</f>
        <v>792201.12488562299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4594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4575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4575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4580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4584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4584</v>
      </c>
      <c r="B11" s="18">
        <v>-1287000</v>
      </c>
      <c r="C11" s="18">
        <v>0</v>
      </c>
      <c r="D11" s="113">
        <f t="shared" si="0"/>
        <v>-1287000</v>
      </c>
      <c r="E11" s="19" t="s">
        <v>4585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4580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4622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4633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-77315</v>
      </c>
      <c r="C29" s="18">
        <v>0</v>
      </c>
      <c r="D29" s="113">
        <f t="shared" si="0"/>
        <v>-77315</v>
      </c>
      <c r="E29" s="19" t="s">
        <v>4658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-66850</v>
      </c>
      <c r="C30" s="18">
        <v>0</v>
      </c>
      <c r="D30" s="113">
        <f t="shared" si="0"/>
        <v>-66850</v>
      </c>
      <c r="E30" s="19" t="s">
        <v>4671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4670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8" t="s">
        <v>1089</v>
      </c>
      <c r="R21" s="218"/>
      <c r="S21" s="218"/>
      <c r="T21" s="218"/>
      <c r="U21" s="96"/>
      <c r="V21" s="96"/>
      <c r="W21" s="96"/>
      <c r="X21" s="96"/>
      <c r="Y21" s="96"/>
      <c r="Z21" s="96"/>
    </row>
    <row r="22" spans="5:35">
      <c r="O22" s="99"/>
      <c r="P22" s="99"/>
      <c r="Q22" s="218"/>
      <c r="R22" s="218"/>
      <c r="S22" s="218"/>
      <c r="T22" s="218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9" t="s">
        <v>1090</v>
      </c>
      <c r="R23" s="220" t="s">
        <v>1091</v>
      </c>
      <c r="S23" s="219" t="s">
        <v>1092</v>
      </c>
      <c r="T23" s="221" t="s">
        <v>1093</v>
      </c>
      <c r="AD23" t="s">
        <v>25</v>
      </c>
    </row>
    <row r="24" spans="5:35">
      <c r="O24" s="99"/>
      <c r="P24" s="99"/>
      <c r="Q24" s="219"/>
      <c r="R24" s="220"/>
      <c r="S24" s="219"/>
      <c r="T24" s="221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4613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4614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4615</v>
      </c>
      <c r="J263" t="s">
        <v>25</v>
      </c>
      <c r="K263" t="s">
        <v>25</v>
      </c>
    </row>
    <row r="264" spans="1:11">
      <c r="A264" s="99" t="s">
        <v>4608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4644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4643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4630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4646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4652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4652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4676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4594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7"/>
  <sheetViews>
    <sheetView tabSelected="1" topLeftCell="Z112" zoomScaleNormal="100" workbookViewId="0">
      <selection activeCell="AN133" sqref="AN13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804305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299</v>
      </c>
      <c r="AM20" s="113">
        <f>AJ20*AL20</f>
        <v>5382000000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173696652.43780085</v>
      </c>
      <c r="M21" s="169" t="s">
        <v>4302</v>
      </c>
      <c r="N21" s="113">
        <f>O21*P21</f>
        <v>12445190</v>
      </c>
      <c r="O21" s="99">
        <v>73207</v>
      </c>
      <c r="P21" s="188">
        <f>P58</f>
        <v>170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298</v>
      </c>
      <c r="AM21" s="113">
        <f t="shared" ref="AM21:AM139" si="10">AJ21*AL21</f>
        <v>745000000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-2304066</v>
      </c>
      <c r="M22" s="169" t="s">
        <v>4314</v>
      </c>
      <c r="N22" s="113">
        <f>O22*P22</f>
        <v>8294664</v>
      </c>
      <c r="O22" s="99">
        <v>28504</v>
      </c>
      <c r="P22" s="188">
        <f>P55</f>
        <v>291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297</v>
      </c>
      <c r="AM22" s="113">
        <f t="shared" si="10"/>
        <v>2376000000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4698</v>
      </c>
      <c r="N23" s="113">
        <f>O23*P23</f>
        <v>326077.39999999997</v>
      </c>
      <c r="O23" s="99">
        <v>1439</v>
      </c>
      <c r="P23" s="188">
        <f>P53</f>
        <v>226.6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296</v>
      </c>
      <c r="AM23" s="113">
        <f t="shared" si="10"/>
        <v>-23547392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350972226.43780088</v>
      </c>
      <c r="G24" s="95">
        <f t="shared" si="0"/>
        <v>-70665881.055862248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4066804.8000000003</v>
      </c>
      <c r="O24" s="99">
        <v>828</v>
      </c>
      <c r="P24" s="99">
        <f>P45</f>
        <v>4911.6000000000004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295</v>
      </c>
      <c r="AM24" s="113">
        <f t="shared" si="10"/>
        <v>48822500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283</v>
      </c>
      <c r="AM25" s="113">
        <f t="shared" si="10"/>
        <v>-8158982541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277</v>
      </c>
      <c r="AM26" s="113">
        <f t="shared" si="10"/>
        <v>5124500000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230845.2</v>
      </c>
      <c r="O27" s="69">
        <v>47</v>
      </c>
      <c r="P27" s="99">
        <f>P45</f>
        <v>4911.6000000000004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276</v>
      </c>
      <c r="AM27" s="113">
        <f t="shared" si="10"/>
        <v>-5119800000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4698</v>
      </c>
      <c r="N28" s="113">
        <f>O28*P28</f>
        <v>326077.39999999997</v>
      </c>
      <c r="O28" s="69">
        <v>1439</v>
      </c>
      <c r="P28" s="99">
        <f>P53</f>
        <v>226.6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275</v>
      </c>
      <c r="AM28" s="113">
        <f t="shared" si="10"/>
        <v>-17864275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2946950</v>
      </c>
      <c r="O29" s="69">
        <v>17335</v>
      </c>
      <c r="P29" s="99">
        <f>P58</f>
        <v>170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270</v>
      </c>
      <c r="AM29" s="113">
        <f t="shared" si="10"/>
        <v>1728000000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269</v>
      </c>
      <c r="AM30" s="113">
        <f t="shared" si="10"/>
        <v>-45730000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264</v>
      </c>
      <c r="AM31" s="113">
        <f t="shared" si="10"/>
        <v>-1663200000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-S119</f>
        <v>-173696652.43780085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4649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263</v>
      </c>
      <c r="AM32" s="113">
        <f t="shared" si="10"/>
        <v>-13679945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4693</v>
      </c>
      <c r="S33" s="201">
        <f>S32-7</f>
        <v>3</v>
      </c>
      <c r="T33" s="169" t="s">
        <v>4697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247</v>
      </c>
      <c r="AM33" s="113">
        <f t="shared" si="10"/>
        <v>4944297800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4710</v>
      </c>
      <c r="S34" s="201">
        <f>S33-3</f>
        <v>0</v>
      </c>
      <c r="T34" s="169" t="s">
        <v>4711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247</v>
      </c>
      <c r="AM34" s="113">
        <f t="shared" si="10"/>
        <v>250573102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4572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235</v>
      </c>
      <c r="AM35" s="113">
        <f t="shared" si="10"/>
        <v>84600000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-2445285.8000000007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233</v>
      </c>
      <c r="AM36" s="113">
        <f t="shared" si="10"/>
        <v>-81550000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4574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233</v>
      </c>
      <c r="AM37" s="113">
        <f t="shared" si="10"/>
        <v>233000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4708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232</v>
      </c>
      <c r="AM38" s="113">
        <f t="shared" si="10"/>
        <v>7797520000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228</v>
      </c>
      <c r="AM39" s="113">
        <f t="shared" si="10"/>
        <v>-3556800000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4632</v>
      </c>
      <c r="L40" s="117">
        <v>2000000</v>
      </c>
      <c r="M40" s="169" t="s">
        <v>4466</v>
      </c>
      <c r="N40" s="113">
        <v>13103482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225</v>
      </c>
      <c r="AM40" s="113">
        <f t="shared" si="10"/>
        <v>1687500000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221</v>
      </c>
      <c r="AM41" s="113">
        <f t="shared" si="10"/>
        <v>-21658000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14007264.5</v>
      </c>
      <c r="O42" s="99">
        <v>4439</v>
      </c>
      <c r="P42" s="99">
        <v>3155.5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220</v>
      </c>
      <c r="AM42" s="113">
        <f t="shared" si="10"/>
        <v>-5720000000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4607</v>
      </c>
      <c r="N43" s="117">
        <f t="shared" ref="N43:N59" si="16">O43*P43</f>
        <v>511087.5</v>
      </c>
      <c r="O43" s="69">
        <v>1475</v>
      </c>
      <c r="P43" s="69">
        <v>346.5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220</v>
      </c>
      <c r="AM43" s="113">
        <f t="shared" si="10"/>
        <v>5500000000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4589</v>
      </c>
      <c r="N44" s="117">
        <f t="shared" si="16"/>
        <v>1195200</v>
      </c>
      <c r="O44" s="69">
        <v>1000</v>
      </c>
      <c r="P44" s="69">
        <v>1195.2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219</v>
      </c>
      <c r="AM44" s="113">
        <f t="shared" si="10"/>
        <v>24090000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103634760.00000001</v>
      </c>
      <c r="O45" s="69">
        <v>21100</v>
      </c>
      <c r="P45" s="69">
        <v>4911.6000000000004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218</v>
      </c>
      <c r="AM45" s="113">
        <f t="shared" si="10"/>
        <v>82840000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4664</v>
      </c>
      <c r="N46" s="117">
        <f t="shared" si="16"/>
        <v>1045500</v>
      </c>
      <c r="O46" s="69">
        <v>2500</v>
      </c>
      <c r="P46" s="69">
        <v>418.2</v>
      </c>
      <c r="Q46" s="170">
        <v>168846</v>
      </c>
      <c r="R46" s="169" t="s">
        <v>3692</v>
      </c>
      <c r="S46" s="201">
        <f>S45-30</f>
        <v>10</v>
      </c>
      <c r="T46" s="192" t="s">
        <v>4649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211</v>
      </c>
      <c r="AM46" s="113">
        <f t="shared" si="10"/>
        <v>94950000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40487356.799999997</v>
      </c>
      <c r="O47" s="69">
        <v>79904</v>
      </c>
      <c r="P47" s="69">
        <v>506.7</v>
      </c>
      <c r="Q47" s="170">
        <v>296363</v>
      </c>
      <c r="R47" s="169" t="s">
        <v>4693</v>
      </c>
      <c r="S47" s="201">
        <f>S46-7</f>
        <v>3</v>
      </c>
      <c r="T47" s="192" t="s">
        <v>4697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205</v>
      </c>
      <c r="AM47" s="113">
        <f t="shared" si="10"/>
        <v>574000000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2602842</v>
      </c>
      <c r="O48" s="69">
        <v>698</v>
      </c>
      <c r="P48" s="69">
        <v>3729</v>
      </c>
      <c r="Q48" s="170">
        <v>250962</v>
      </c>
      <c r="R48" s="169" t="s">
        <v>4710</v>
      </c>
      <c r="S48" s="201">
        <f>S47-3</f>
        <v>0</v>
      </c>
      <c r="T48" s="192" t="s">
        <v>4711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204</v>
      </c>
      <c r="AM48" s="113">
        <f t="shared" si="10"/>
        <v>-306000000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4582</v>
      </c>
      <c r="N49" s="117">
        <f t="shared" si="16"/>
        <v>97377.1</v>
      </c>
      <c r="O49" s="69">
        <v>197</v>
      </c>
      <c r="P49" s="69">
        <v>494.3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204</v>
      </c>
      <c r="AM49" s="113">
        <f t="shared" si="10"/>
        <v>622200000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13765221.500000002</v>
      </c>
      <c r="O50" s="69">
        <v>3065</v>
      </c>
      <c r="P50" s="69">
        <v>4491.1000000000004</v>
      </c>
      <c r="Q50" s="113">
        <f>SUM(N27:N29)-SUM(Q41:Q49)</f>
        <v>-52813.399999999907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201</v>
      </c>
      <c r="AM50" s="113">
        <f t="shared" si="10"/>
        <v>-1668222012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4654</v>
      </c>
      <c r="N51" s="117">
        <f t="shared" si="16"/>
        <v>1902911.2000000002</v>
      </c>
      <c r="O51" s="69">
        <v>2306</v>
      </c>
      <c r="P51" s="69">
        <v>825.2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199</v>
      </c>
      <c r="AM51" s="113">
        <f t="shared" si="10"/>
        <v>995000000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4663</v>
      </c>
      <c r="N52" s="117">
        <f t="shared" si="16"/>
        <v>888264</v>
      </c>
      <c r="O52" s="69">
        <v>2190</v>
      </c>
      <c r="P52" s="69">
        <v>405.6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185</v>
      </c>
      <c r="AM52" s="113">
        <f t="shared" si="10"/>
        <v>-16650000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4698</v>
      </c>
      <c r="N53" s="117">
        <f t="shared" si="16"/>
        <v>326077.39999999997</v>
      </c>
      <c r="O53" s="69">
        <v>1439</v>
      </c>
      <c r="P53" s="69">
        <v>226.6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184</v>
      </c>
      <c r="AM53" s="113">
        <f t="shared" si="10"/>
        <v>1030400000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4641</v>
      </c>
      <c r="N54" s="117">
        <f t="shared" si="16"/>
        <v>3475827.3</v>
      </c>
      <c r="O54" s="69">
        <v>4917</v>
      </c>
      <c r="P54" s="69">
        <v>706.9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180</v>
      </c>
      <c r="AM54" s="113">
        <f t="shared" si="10"/>
        <v>135000000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335523</v>
      </c>
      <c r="O55" s="69">
        <v>1153</v>
      </c>
      <c r="P55" s="69">
        <v>291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178</v>
      </c>
      <c r="AM55" s="171">
        <f t="shared" si="10"/>
        <v>-755076000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4650</v>
      </c>
      <c r="N56" s="117">
        <f t="shared" si="16"/>
        <v>997600</v>
      </c>
      <c r="O56" s="69">
        <v>8000</v>
      </c>
      <c r="P56" s="69">
        <v>124.7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176</v>
      </c>
      <c r="AM56" s="113">
        <f t="shared" si="10"/>
        <v>721600000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4665</v>
      </c>
      <c r="N57" s="117">
        <f t="shared" si="16"/>
        <v>963995.20000000007</v>
      </c>
      <c r="O57" s="69">
        <v>4648</v>
      </c>
      <c r="P57" s="69">
        <v>207.4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176</v>
      </c>
      <c r="AM57" s="113">
        <f t="shared" si="10"/>
        <v>721600000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214596950</v>
      </c>
      <c r="O58" s="99">
        <v>1262335</v>
      </c>
      <c r="P58" s="99">
        <v>170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03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175</v>
      </c>
      <c r="AM58" s="113">
        <f t="shared" si="10"/>
        <v>138250000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13095000</v>
      </c>
      <c r="O59" s="69">
        <v>30</v>
      </c>
      <c r="P59" s="69">
        <v>436500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160</v>
      </c>
      <c r="AM59" s="173">
        <f t="shared" si="10"/>
        <v>-618400000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154</v>
      </c>
      <c r="AM60" s="113">
        <f t="shared" si="10"/>
        <v>2895200000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151</v>
      </c>
      <c r="AM61" s="113">
        <f t="shared" si="10"/>
        <v>75500000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150</v>
      </c>
      <c r="AM62" s="113">
        <f t="shared" si="10"/>
        <v>30000000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147</v>
      </c>
      <c r="AM63" s="113">
        <f t="shared" si="10"/>
        <v>147000000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-14071410</v>
      </c>
      <c r="O64" s="99">
        <v>82773</v>
      </c>
      <c r="P64" s="99">
        <f>P58</f>
        <v>170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144</v>
      </c>
      <c r="AM64" s="113">
        <f t="shared" si="10"/>
        <v>187200000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144</v>
      </c>
      <c r="AM65" s="113">
        <f t="shared" si="10"/>
        <v>143280000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4638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142</v>
      </c>
      <c r="AM66" s="113">
        <f t="shared" si="10"/>
        <v>1846000000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-S120</f>
        <v>-13843851.863434177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140</v>
      </c>
      <c r="AM67" s="113">
        <f t="shared" si="10"/>
        <v>-434000000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137</v>
      </c>
      <c r="AM68" s="113">
        <f t="shared" si="10"/>
        <v>6252680000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136</v>
      </c>
      <c r="AM69" s="113">
        <f t="shared" si="10"/>
        <v>4556000000</v>
      </c>
      <c r="AN69" s="20"/>
    </row>
    <row r="70" spans="1:40">
      <c r="G70" t="s">
        <v>4102</v>
      </c>
      <c r="K70" s="169" t="s">
        <v>598</v>
      </c>
      <c r="L70" s="113">
        <f>SUM(L16:L56)</f>
        <v>350972226.43780088</v>
      </c>
      <c r="M70" s="169"/>
      <c r="N70" s="113">
        <f>SUM(N16:N66)</f>
        <v>424080536.86219913</v>
      </c>
      <c r="Q70" s="170">
        <v>1662335</v>
      </c>
      <c r="R70" s="169" t="s">
        <v>4451</v>
      </c>
      <c r="S70" s="201">
        <f>S69-5</f>
        <v>56</v>
      </c>
      <c r="T70" s="73" t="s">
        <v>4619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135</v>
      </c>
      <c r="AM70" s="117">
        <f t="shared" si="10"/>
        <v>1620000000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1417610</v>
      </c>
      <c r="Q71" s="170">
        <v>159753</v>
      </c>
      <c r="R71" s="169" t="s">
        <v>4580</v>
      </c>
      <c r="S71" s="169">
        <f>S70-25</f>
        <v>31</v>
      </c>
      <c r="T71" s="73" t="s">
        <v>4596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134</v>
      </c>
      <c r="AM71" s="117">
        <f t="shared" si="10"/>
        <v>2077000000</v>
      </c>
      <c r="AN71" s="20"/>
    </row>
    <row r="72" spans="1:40">
      <c r="G72" t="s">
        <v>4107</v>
      </c>
      <c r="K72" s="56" t="s">
        <v>716</v>
      </c>
      <c r="L72" s="1">
        <f>L70+N7</f>
        <v>420972226.43780088</v>
      </c>
      <c r="M72" s="113"/>
      <c r="N72" s="169"/>
      <c r="O72" s="115"/>
      <c r="P72" s="115"/>
      <c r="Q72" s="170">
        <v>172133</v>
      </c>
      <c r="R72" s="169" t="s">
        <v>4581</v>
      </c>
      <c r="S72" s="169">
        <f>S71-3</f>
        <v>28</v>
      </c>
      <c r="T72" s="73" t="s">
        <v>4597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130</v>
      </c>
      <c r="AM72" s="117">
        <f t="shared" si="10"/>
        <v>19500000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4581</v>
      </c>
      <c r="S73" s="169">
        <f>S72</f>
        <v>28</v>
      </c>
      <c r="T73" s="73" t="s">
        <v>4598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129</v>
      </c>
      <c r="AM73" s="182">
        <f t="shared" si="10"/>
        <v>3741000000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4608</v>
      </c>
      <c r="S74" s="169">
        <f>S73-9</f>
        <v>19</v>
      </c>
      <c r="T74" s="73" t="s">
        <v>4609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114</v>
      </c>
      <c r="AM74" s="117">
        <f t="shared" si="10"/>
        <v>-14820000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4620</v>
      </c>
      <c r="S75" s="169">
        <f>S74-2</f>
        <v>17</v>
      </c>
      <c r="T75" s="169" t="s">
        <v>4621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107</v>
      </c>
      <c r="AM75" s="117">
        <f>AJ75*AL75</f>
        <v>24824000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4630</v>
      </c>
      <c r="S76" s="169">
        <f>S75-3</f>
        <v>14</v>
      </c>
      <c r="T76" s="169" t="s">
        <v>4631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105</v>
      </c>
      <c r="AM76" s="117">
        <f t="shared" si="10"/>
        <v>-17850000</v>
      </c>
      <c r="AN76" s="20"/>
    </row>
    <row r="77" spans="1:40">
      <c r="D77" s="1" t="s">
        <v>305</v>
      </c>
      <c r="E77" s="1">
        <v>70000</v>
      </c>
      <c r="M77" s="96" t="s">
        <v>4736</v>
      </c>
      <c r="Q77" s="170">
        <v>3975257</v>
      </c>
      <c r="R77" s="169" t="s">
        <v>4636</v>
      </c>
      <c r="S77" s="169">
        <f>S76-1</f>
        <v>13</v>
      </c>
      <c r="T77" s="169" t="s">
        <v>4637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102</v>
      </c>
      <c r="AM77" s="117">
        <f t="shared" si="10"/>
        <v>-30600000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4640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99</v>
      </c>
      <c r="AM78" s="117">
        <f t="shared" si="10"/>
        <v>-1128600000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4642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86</v>
      </c>
      <c r="AM79" s="117">
        <f>AJ79*AL79</f>
        <v>-860000000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4600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4645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85</v>
      </c>
      <c r="AM80" s="117">
        <f>AJ80*AL80</f>
        <v>-208250000</v>
      </c>
      <c r="AN80" s="20"/>
    </row>
    <row r="81" spans="4:52" ht="30">
      <c r="D81" s="31" t="s">
        <v>308</v>
      </c>
      <c r="E81" s="1">
        <v>300000</v>
      </c>
      <c r="K81" s="22" t="s">
        <v>4699</v>
      </c>
      <c r="L81" s="22" t="s">
        <v>4683</v>
      </c>
      <c r="M81" s="213" t="s">
        <v>4737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4648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80</v>
      </c>
      <c r="AM81" s="117">
        <f t="shared" si="10"/>
        <v>-36486480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4700</v>
      </c>
      <c r="M82" s="122" t="s">
        <v>4518</v>
      </c>
      <c r="N82" s="96"/>
      <c r="P82" s="115" t="s">
        <v>25</v>
      </c>
      <c r="Q82" s="170">
        <v>1210169</v>
      </c>
      <c r="R82" s="169" t="s">
        <v>4652</v>
      </c>
      <c r="S82" s="169">
        <f>S81-3</f>
        <v>7</v>
      </c>
      <c r="T82" s="169" t="s">
        <v>4653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79</v>
      </c>
      <c r="AM82" s="117">
        <f t="shared" si="10"/>
        <v>-39500000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4602</v>
      </c>
      <c r="O83" t="s">
        <v>25</v>
      </c>
      <c r="P83" s="115"/>
      <c r="Q83" s="170">
        <v>1997458</v>
      </c>
      <c r="R83" s="169" t="s">
        <v>4652</v>
      </c>
      <c r="S83" s="169">
        <f>S82</f>
        <v>7</v>
      </c>
      <c r="T83" s="169" t="s">
        <v>4655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77</v>
      </c>
      <c r="AM83" s="117">
        <f t="shared" si="10"/>
        <v>-480046490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1270104</v>
      </c>
      <c r="N84" s="113">
        <f>M84*P58</f>
        <v>215917680</v>
      </c>
      <c r="P84" s="115"/>
      <c r="Q84" s="170">
        <v>12131182</v>
      </c>
      <c r="R84" s="169" t="s">
        <v>4652</v>
      </c>
      <c r="S84" s="169">
        <f>S83</f>
        <v>7</v>
      </c>
      <c r="T84" s="169" t="s">
        <v>4656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74</v>
      </c>
      <c r="AM84" s="117">
        <f t="shared" si="10"/>
        <v>144370818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4660</v>
      </c>
      <c r="S85" s="169">
        <f>S84-1</f>
        <v>6</v>
      </c>
      <c r="T85" s="169" t="s">
        <v>4661</v>
      </c>
      <c r="U85" s="169">
        <v>3405.9</v>
      </c>
      <c r="V85" s="99">
        <f t="shared" si="17"/>
        <v>3459.7225512328769</v>
      </c>
      <c r="W85" s="32">
        <f t="shared" ref="W85:W107" si="21">V85*(1+$W$19/100)</f>
        <v>3528.9170022575345</v>
      </c>
      <c r="X85" s="32">
        <f t="shared" ref="X85:X107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70</v>
      </c>
      <c r="AM85" s="117">
        <f t="shared" si="10"/>
        <v>42000000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4606</v>
      </c>
      <c r="N86" t="s">
        <v>25</v>
      </c>
      <c r="P86" s="115"/>
      <c r="Q86" s="170">
        <v>1001073</v>
      </c>
      <c r="R86" s="169" t="s">
        <v>4660</v>
      </c>
      <c r="S86" s="169">
        <f>S85</f>
        <v>6</v>
      </c>
      <c r="T86" s="169" t="s">
        <v>4662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65</v>
      </c>
      <c r="AM86" s="117">
        <f t="shared" si="10"/>
        <v>487500000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4660</v>
      </c>
      <c r="S87" s="169">
        <f>S86</f>
        <v>6</v>
      </c>
      <c r="T87" s="169" t="s">
        <v>4666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63</v>
      </c>
      <c r="AM87" s="117">
        <f t="shared" si="10"/>
        <v>-37032408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4660</v>
      </c>
      <c r="S88" s="169">
        <f>S87</f>
        <v>6</v>
      </c>
      <c r="T88" s="169" t="s">
        <v>4667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60</v>
      </c>
      <c r="AM88" s="117">
        <f t="shared" si="10"/>
        <v>-54449340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4660</v>
      </c>
      <c r="S89" s="169">
        <f>S88</f>
        <v>6</v>
      </c>
      <c r="T89" s="169" t="s">
        <v>4668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60</v>
      </c>
      <c r="AM89" s="117">
        <f t="shared" si="10"/>
        <v>147000000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4660</v>
      </c>
      <c r="S90" s="169">
        <f>S89</f>
        <v>6</v>
      </c>
      <c r="T90" s="169" t="s">
        <v>4669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59</v>
      </c>
      <c r="AM90" s="117">
        <f t="shared" si="10"/>
        <v>88500000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4673</v>
      </c>
      <c r="S91" s="169">
        <f>S90-1</f>
        <v>5</v>
      </c>
      <c r="T91" s="169" t="s">
        <v>4674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58</v>
      </c>
      <c r="AM91" s="117">
        <f t="shared" si="10"/>
        <v>153584000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4673</v>
      </c>
      <c r="S92" s="169">
        <f>S91</f>
        <v>5</v>
      </c>
      <c r="T92" s="169" t="s">
        <v>4675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57</v>
      </c>
      <c r="AM92" s="117">
        <f t="shared" si="10"/>
        <v>35055000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4676</v>
      </c>
      <c r="S93" s="169">
        <f>S92-1</f>
        <v>4</v>
      </c>
      <c r="T93" s="169" t="s">
        <v>4682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53</v>
      </c>
      <c r="AM93" s="117">
        <f t="shared" si="10"/>
        <v>742000000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4676</v>
      </c>
      <c r="S94" s="169">
        <f>S93</f>
        <v>4</v>
      </c>
      <c r="T94" s="169" t="s">
        <v>4680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51</v>
      </c>
      <c r="AM94" s="117">
        <f t="shared" si="10"/>
        <v>66963000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4676</v>
      </c>
      <c r="S95" s="169">
        <f>S94</f>
        <v>4</v>
      </c>
      <c r="T95" s="169" t="s">
        <v>4681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9" si="23">AL96+AK95</f>
        <v>51</v>
      </c>
      <c r="AM95" s="117">
        <f t="shared" si="10"/>
        <v>115719000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4693</v>
      </c>
      <c r="S96" s="169">
        <f>S95-1</f>
        <v>3</v>
      </c>
      <c r="T96" s="169" t="s">
        <v>4695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50</v>
      </c>
      <c r="AM96" s="117">
        <f t="shared" si="10"/>
        <v>37500000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4693</v>
      </c>
      <c r="S97" s="169">
        <f>S96</f>
        <v>3</v>
      </c>
      <c r="T97" s="169" t="s">
        <v>4696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46</v>
      </c>
      <c r="AM97" s="117">
        <f t="shared" si="10"/>
        <v>87400000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4693</v>
      </c>
      <c r="S98" s="169">
        <f>S97</f>
        <v>3</v>
      </c>
      <c r="T98" s="169" t="s">
        <v>4697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43</v>
      </c>
      <c r="AM98" s="117">
        <f t="shared" si="10"/>
        <v>275200000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4710</v>
      </c>
      <c r="S99" s="169">
        <f>S98-3</f>
        <v>0</v>
      </c>
      <c r="T99" s="169" t="s">
        <v>4712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42</v>
      </c>
      <c r="AM99" s="117">
        <f t="shared" si="10"/>
        <v>210000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4710</v>
      </c>
      <c r="S100" s="169">
        <f>S99</f>
        <v>0</v>
      </c>
      <c r="T100" s="169" t="s">
        <v>4713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37</v>
      </c>
      <c r="AM100" s="117">
        <f t="shared" si="10"/>
        <v>-64755476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4716</v>
      </c>
      <c r="S101" s="169">
        <f>S100-1</f>
        <v>-1</v>
      </c>
      <c r="T101" s="169" t="s">
        <v>4718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4575</v>
      </c>
      <c r="AJ101" s="113">
        <v>400000</v>
      </c>
      <c r="AK101" s="99">
        <v>0</v>
      </c>
      <c r="AL101" s="99">
        <f t="shared" si="23"/>
        <v>36</v>
      </c>
      <c r="AM101" s="117">
        <f t="shared" si="10"/>
        <v>14400000</v>
      </c>
      <c r="AN101" s="99"/>
    </row>
    <row r="102" spans="4:47">
      <c r="M102" t="s">
        <v>4554</v>
      </c>
      <c r="P102" s="115"/>
      <c r="Q102" s="170">
        <v>2595417</v>
      </c>
      <c r="R102" s="169" t="s">
        <v>4728</v>
      </c>
      <c r="S102" s="169">
        <f>S101-1</f>
        <v>-2</v>
      </c>
      <c r="T102" s="169" t="s">
        <v>4729</v>
      </c>
      <c r="U102" s="169">
        <v>4803</v>
      </c>
      <c r="V102" s="99">
        <f t="shared" si="17"/>
        <v>4849.4246136986303</v>
      </c>
      <c r="W102" s="32">
        <f t="shared" si="21"/>
        <v>4946.4131059726033</v>
      </c>
      <c r="X102" s="32">
        <f t="shared" si="22"/>
        <v>5043.4015982465753</v>
      </c>
      <c r="AH102" s="99">
        <v>82</v>
      </c>
      <c r="AI102" s="113" t="s">
        <v>4575</v>
      </c>
      <c r="AJ102" s="113">
        <v>-2105421</v>
      </c>
      <c r="AK102" s="99">
        <v>1</v>
      </c>
      <c r="AL102" s="99">
        <f t="shared" si="23"/>
        <v>36</v>
      </c>
      <c r="AM102" s="117">
        <f t="shared" si="10"/>
        <v>-75795156</v>
      </c>
      <c r="AN102" s="99"/>
      <c r="AO102" t="s">
        <v>25</v>
      </c>
    </row>
    <row r="103" spans="4:47">
      <c r="P103" s="128"/>
      <c r="Q103" s="170">
        <v>2505816</v>
      </c>
      <c r="R103" s="169" t="s">
        <v>4728</v>
      </c>
      <c r="S103" s="169">
        <f>S102</f>
        <v>-2</v>
      </c>
      <c r="T103" s="169" t="s">
        <v>4730</v>
      </c>
      <c r="U103" s="169">
        <v>3723</v>
      </c>
      <c r="V103" s="99">
        <f t="shared" si="17"/>
        <v>3758.9856</v>
      </c>
      <c r="W103" s="32">
        <f t="shared" si="21"/>
        <v>3834.1653120000001</v>
      </c>
      <c r="X103" s="32">
        <f t="shared" si="22"/>
        <v>3909.3450240000002</v>
      </c>
      <c r="AH103" s="99">
        <v>83</v>
      </c>
      <c r="AI103" s="113" t="s">
        <v>4580</v>
      </c>
      <c r="AJ103" s="113">
        <v>-5527618</v>
      </c>
      <c r="AK103" s="99">
        <v>0</v>
      </c>
      <c r="AL103" s="99">
        <f t="shared" si="23"/>
        <v>35</v>
      </c>
      <c r="AM103" s="117">
        <f t="shared" si="10"/>
        <v>-193466630</v>
      </c>
      <c r="AN103" s="99"/>
    </row>
    <row r="104" spans="4:47">
      <c r="P104" s="128"/>
      <c r="Q104" s="170"/>
      <c r="R104" s="169"/>
      <c r="S104" s="169"/>
      <c r="T104" s="169"/>
      <c r="U104" s="169"/>
      <c r="V104" s="99"/>
      <c r="W104" s="32"/>
      <c r="X104" s="32"/>
      <c r="AH104" s="99">
        <v>84</v>
      </c>
      <c r="AI104" s="113" t="s">
        <v>4580</v>
      </c>
      <c r="AJ104" s="113">
        <v>3900000</v>
      </c>
      <c r="AK104" s="99">
        <v>3</v>
      </c>
      <c r="AL104" s="99">
        <f t="shared" si="23"/>
        <v>35</v>
      </c>
      <c r="AM104" s="117">
        <f t="shared" si="10"/>
        <v>136500000</v>
      </c>
      <c r="AN104" s="99"/>
    </row>
    <row r="105" spans="4:47">
      <c r="K105" s="32" t="s">
        <v>4555</v>
      </c>
      <c r="L105" s="32" t="s">
        <v>4732</v>
      </c>
      <c r="M105" s="32" t="s">
        <v>4701</v>
      </c>
      <c r="N105" s="169" t="s">
        <v>4702</v>
      </c>
      <c r="P105" s="115"/>
      <c r="Q105" s="170"/>
      <c r="R105" s="169"/>
      <c r="S105" s="169"/>
      <c r="T105" s="169"/>
      <c r="U105" s="169"/>
      <c r="V105" s="99"/>
      <c r="W105" s="32"/>
      <c r="X105" s="32"/>
      <c r="Y105" t="s">
        <v>25</v>
      </c>
      <c r="AH105" s="99">
        <v>85</v>
      </c>
      <c r="AI105" s="113" t="s">
        <v>4581</v>
      </c>
      <c r="AJ105" s="113">
        <v>-3969754</v>
      </c>
      <c r="AK105" s="99">
        <v>1</v>
      </c>
      <c r="AL105" s="99">
        <f t="shared" si="23"/>
        <v>32</v>
      </c>
      <c r="AM105" s="117">
        <f t="shared" si="10"/>
        <v>-127032128</v>
      </c>
      <c r="AN105" s="99"/>
    </row>
    <row r="106" spans="4:47">
      <c r="K106" s="32" t="s">
        <v>4244</v>
      </c>
      <c r="L106" s="1">
        <v>300000000</v>
      </c>
      <c r="M106" s="1">
        <f>N21+N29+N58</f>
        <v>229989090</v>
      </c>
      <c r="N106" s="113">
        <f t="shared" ref="N106:N112" si="24">L106-M106</f>
        <v>70010910</v>
      </c>
      <c r="Q106" s="170"/>
      <c r="R106" s="169"/>
      <c r="S106" s="169"/>
      <c r="T106" s="169"/>
      <c r="U106" s="169"/>
      <c r="V106" s="99"/>
      <c r="W106" s="32"/>
      <c r="X106" s="32"/>
      <c r="AH106" s="99">
        <v>86</v>
      </c>
      <c r="AI106" s="113" t="s">
        <v>4594</v>
      </c>
      <c r="AJ106" s="113">
        <v>-25574455</v>
      </c>
      <c r="AK106" s="99">
        <v>0</v>
      </c>
      <c r="AL106" s="99">
        <f t="shared" si="23"/>
        <v>31</v>
      </c>
      <c r="AM106" s="117">
        <f t="shared" si="10"/>
        <v>-792808105</v>
      </c>
      <c r="AN106" s="99"/>
      <c r="AP106" t="s">
        <v>25</v>
      </c>
    </row>
    <row r="107" spans="4:47">
      <c r="K107" s="32" t="s">
        <v>4401</v>
      </c>
      <c r="L107" s="1">
        <v>120000000</v>
      </c>
      <c r="M107" s="1">
        <f>N24+N45+N27</f>
        <v>107932410.00000001</v>
      </c>
      <c r="N107" s="113">
        <f t="shared" si="24"/>
        <v>12067589.999999985</v>
      </c>
      <c r="Q107" s="170"/>
      <c r="R107" s="169"/>
      <c r="S107" s="169"/>
      <c r="T107" s="169"/>
      <c r="U107" s="169"/>
      <c r="V107" s="99">
        <f>U107*(1+$N$90+$Q$15*S107/36500)</f>
        <v>0</v>
      </c>
      <c r="W107" s="32">
        <f t="shared" si="21"/>
        <v>0</v>
      </c>
      <c r="X107" s="32">
        <f t="shared" si="22"/>
        <v>0</v>
      </c>
      <c r="AH107" s="99">
        <v>87</v>
      </c>
      <c r="AI107" s="113" t="s">
        <v>4594</v>
      </c>
      <c r="AJ107" s="113">
        <v>4000000</v>
      </c>
      <c r="AK107" s="99">
        <v>1</v>
      </c>
      <c r="AL107" s="99">
        <f t="shared" si="23"/>
        <v>31</v>
      </c>
      <c r="AM107" s="117">
        <f t="shared" si="10"/>
        <v>124000000</v>
      </c>
      <c r="AN107" s="99"/>
    </row>
    <row r="108" spans="4:47">
      <c r="K108" s="32" t="s">
        <v>4397</v>
      </c>
      <c r="L108" s="1">
        <v>120000000</v>
      </c>
      <c r="M108" s="1">
        <f>N42</f>
        <v>14007264.5</v>
      </c>
      <c r="N108" s="113">
        <f t="shared" si="24"/>
        <v>105992735.5</v>
      </c>
      <c r="Q108" s="113">
        <f>SUM(N42:N59)-SUM(Q58:Q107)</f>
        <v>-35469537.5</v>
      </c>
      <c r="R108" s="112"/>
      <c r="S108" s="112"/>
      <c r="T108" s="112"/>
      <c r="U108" s="169"/>
      <c r="V108" s="99" t="s">
        <v>25</v>
      </c>
      <c r="W108" s="32"/>
      <c r="X108" s="32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30</v>
      </c>
      <c r="AM108" s="117">
        <f t="shared" si="10"/>
        <v>-150000000</v>
      </c>
      <c r="AN108" s="99"/>
    </row>
    <row r="109" spans="4:47">
      <c r="K109" s="32" t="s">
        <v>4416</v>
      </c>
      <c r="L109" s="1">
        <v>120000000</v>
      </c>
      <c r="M109" s="1">
        <f>N47</f>
        <v>40487356.799999997</v>
      </c>
      <c r="N109" s="113">
        <f t="shared" si="24"/>
        <v>79512643.200000003</v>
      </c>
      <c r="Q109" s="26"/>
      <c r="R109" s="183"/>
      <c r="S109" s="183"/>
      <c r="T109" t="s">
        <v>25</v>
      </c>
      <c r="U109" s="96" t="s">
        <v>25</v>
      </c>
      <c r="V109" s="96" t="s">
        <v>25</v>
      </c>
      <c r="AD109" s="96"/>
      <c r="AE109"/>
      <c r="AF109"/>
      <c r="AH109" s="99">
        <v>89</v>
      </c>
      <c r="AI109" s="113" t="s">
        <v>4603</v>
      </c>
      <c r="AJ109" s="113">
        <v>10000000</v>
      </c>
      <c r="AK109" s="99">
        <v>4</v>
      </c>
      <c r="AL109" s="99">
        <f t="shared" si="23"/>
        <v>28</v>
      </c>
      <c r="AM109" s="117">
        <f t="shared" si="10"/>
        <v>280000000</v>
      </c>
      <c r="AN109" s="99"/>
    </row>
    <row r="110" spans="4:47">
      <c r="K110" s="32" t="s">
        <v>4551</v>
      </c>
      <c r="L110" s="1">
        <v>74000000</v>
      </c>
      <c r="M110" s="1">
        <f>N50</f>
        <v>13765221.500000002</v>
      </c>
      <c r="N110" s="113">
        <f t="shared" si="24"/>
        <v>60234778.5</v>
      </c>
      <c r="R110" s="32" t="s">
        <v>4593</v>
      </c>
      <c r="S110" s="32" t="s">
        <v>950</v>
      </c>
      <c r="T110" t="s">
        <v>25</v>
      </c>
      <c r="U110" s="96" t="s">
        <v>25</v>
      </c>
      <c r="V110" s="96" t="s">
        <v>25</v>
      </c>
      <c r="W110" s="96" t="s">
        <v>25</v>
      </c>
      <c r="AH110" s="99">
        <v>90</v>
      </c>
      <c r="AI110" s="113" t="s">
        <v>4605</v>
      </c>
      <c r="AJ110" s="113">
        <v>-5241937</v>
      </c>
      <c r="AK110" s="99">
        <v>0</v>
      </c>
      <c r="AL110" s="99">
        <f t="shared" si="23"/>
        <v>24</v>
      </c>
      <c r="AM110" s="117">
        <f t="shared" si="10"/>
        <v>-125806488</v>
      </c>
      <c r="AN110" s="99"/>
    </row>
    <row r="111" spans="4:47">
      <c r="K111" s="32" t="s">
        <v>4552</v>
      </c>
      <c r="L111" s="1">
        <v>72000000</v>
      </c>
      <c r="M111" s="1">
        <f>N48</f>
        <v>2602842</v>
      </c>
      <c r="N111" s="113">
        <f t="shared" si="24"/>
        <v>69397158</v>
      </c>
      <c r="R111" s="32">
        <v>20</v>
      </c>
      <c r="S111" s="170">
        <v>7991977</v>
      </c>
      <c r="U111" s="96" t="s">
        <v>25</v>
      </c>
      <c r="V111" s="122" t="s">
        <v>25</v>
      </c>
      <c r="X111" t="s">
        <v>25</v>
      </c>
      <c r="AH111" s="99">
        <v>91</v>
      </c>
      <c r="AI111" s="113" t="s">
        <v>4605</v>
      </c>
      <c r="AJ111" s="113">
        <v>21900000</v>
      </c>
      <c r="AK111" s="99">
        <v>2</v>
      </c>
      <c r="AL111" s="99">
        <f t="shared" si="23"/>
        <v>24</v>
      </c>
      <c r="AM111" s="117">
        <f t="shared" si="10"/>
        <v>525600000</v>
      </c>
      <c r="AN111" s="99"/>
      <c r="AP111" t="s">
        <v>25</v>
      </c>
      <c r="AR111" s="96"/>
      <c r="AS111" s="96"/>
      <c r="AT111"/>
      <c r="AU111"/>
    </row>
    <row r="112" spans="4:47">
      <c r="K112" s="32" t="s">
        <v>4715</v>
      </c>
      <c r="L112" s="1">
        <v>20000000</v>
      </c>
      <c r="M112" s="1">
        <f>N22+N23+N28+N49+N53+N43+N44+N51+N54+N52+N46+N56+N57</f>
        <v>20350658.5</v>
      </c>
      <c r="N112" s="113">
        <f t="shared" si="24"/>
        <v>-350658.5</v>
      </c>
      <c r="Q112" t="s">
        <v>25</v>
      </c>
      <c r="R112" s="32">
        <v>10</v>
      </c>
      <c r="S112" s="1">
        <f>S111*R112/R111</f>
        <v>3995988.5</v>
      </c>
      <c r="U112" s="96" t="s">
        <v>25</v>
      </c>
      <c r="V112" s="122" t="s">
        <v>25</v>
      </c>
      <c r="W112" s="96" t="s">
        <v>25</v>
      </c>
      <c r="X112" t="s">
        <v>25</v>
      </c>
      <c r="Y112" t="s">
        <v>25</v>
      </c>
      <c r="AH112" s="99">
        <v>92</v>
      </c>
      <c r="AI112" s="113" t="s">
        <v>4616</v>
      </c>
      <c r="AJ112" s="113">
        <v>-15000000</v>
      </c>
      <c r="AK112" s="99">
        <v>0</v>
      </c>
      <c r="AL112" s="99">
        <f t="shared" si="23"/>
        <v>22</v>
      </c>
      <c r="AM112" s="117">
        <f t="shared" si="10"/>
        <v>-330000000</v>
      </c>
      <c r="AN112" s="99"/>
      <c r="AO112" t="s">
        <v>25</v>
      </c>
    </row>
    <row r="113" spans="11:43">
      <c r="K113" s="99"/>
      <c r="L113" s="99"/>
      <c r="M113" s="99"/>
      <c r="N113" s="164"/>
      <c r="R113" s="32">
        <f>R111-R112</f>
        <v>10</v>
      </c>
      <c r="S113" s="1">
        <f>R113*S111/R111</f>
        <v>3995988.5</v>
      </c>
      <c r="V113" s="96"/>
      <c r="W113"/>
      <c r="AH113" s="99">
        <v>93</v>
      </c>
      <c r="AI113" s="113" t="s">
        <v>4616</v>
      </c>
      <c r="AJ113" s="113">
        <v>3000000</v>
      </c>
      <c r="AK113" s="99">
        <v>1</v>
      </c>
      <c r="AL113" s="99">
        <f t="shared" si="23"/>
        <v>22</v>
      </c>
      <c r="AM113" s="117">
        <f t="shared" si="10"/>
        <v>66000000</v>
      </c>
      <c r="AN113" s="99"/>
    </row>
    <row r="114" spans="11:43">
      <c r="K114" s="99">
        <v>82</v>
      </c>
      <c r="L114" s="31">
        <v>4365000</v>
      </c>
      <c r="M114" s="1">
        <f>K114*L114</f>
        <v>357930000</v>
      </c>
      <c r="N114" s="95">
        <f>SUM(N106:N112)-M114</f>
        <v>38935156.699999988</v>
      </c>
      <c r="V114" s="96"/>
      <c r="W114"/>
      <c r="AH114" s="99">
        <v>94</v>
      </c>
      <c r="AI114" s="113" t="s">
        <v>4620</v>
      </c>
      <c r="AJ114" s="113">
        <v>-2103736</v>
      </c>
      <c r="AK114" s="99">
        <v>0</v>
      </c>
      <c r="AL114" s="99">
        <f t="shared" si="23"/>
        <v>21</v>
      </c>
      <c r="AM114" s="117">
        <f t="shared" si="10"/>
        <v>-44178456</v>
      </c>
      <c r="AN114" s="99"/>
    </row>
    <row r="115" spans="11:43">
      <c r="K115" s="217" t="s">
        <v>4725</v>
      </c>
      <c r="L115" t="s">
        <v>4254</v>
      </c>
      <c r="M115" t="s">
        <v>4726</v>
      </c>
      <c r="N115" t="s">
        <v>4727</v>
      </c>
      <c r="Q115" s="99" t="s">
        <v>4470</v>
      </c>
      <c r="R115" s="99" t="s">
        <v>4472</v>
      </c>
      <c r="S115" s="99"/>
      <c r="T115" s="99" t="s">
        <v>4473</v>
      </c>
      <c r="U115" s="99"/>
      <c r="V115" s="99"/>
      <c r="W115" s="99" t="s">
        <v>4599</v>
      </c>
      <c r="Y115" t="s">
        <v>25</v>
      </c>
      <c r="AH115" s="99">
        <v>95</v>
      </c>
      <c r="AI115" s="113" t="s">
        <v>4620</v>
      </c>
      <c r="AJ115" s="113">
        <v>220000</v>
      </c>
      <c r="AK115" s="99">
        <v>3</v>
      </c>
      <c r="AL115" s="99">
        <f t="shared" si="23"/>
        <v>21</v>
      </c>
      <c r="AM115" s="117">
        <f t="shared" si="10"/>
        <v>4620000</v>
      </c>
      <c r="AN115" s="99"/>
      <c r="AQ115" t="s">
        <v>25</v>
      </c>
    </row>
    <row r="116" spans="11:43">
      <c r="Q116" s="113">
        <v>1000</v>
      </c>
      <c r="R116" s="99">
        <v>0.25</v>
      </c>
      <c r="S116" s="99"/>
      <c r="T116" s="99">
        <f>1-R116</f>
        <v>0.75</v>
      </c>
      <c r="U116" s="99"/>
      <c r="V116" s="99"/>
      <c r="W116" s="99"/>
      <c r="AH116" s="99">
        <v>96</v>
      </c>
      <c r="AI116" s="113" t="s">
        <v>4630</v>
      </c>
      <c r="AJ116" s="113">
        <v>4000000</v>
      </c>
      <c r="AK116" s="99">
        <v>1</v>
      </c>
      <c r="AL116" s="99">
        <f t="shared" si="23"/>
        <v>18</v>
      </c>
      <c r="AM116" s="117">
        <f t="shared" si="10"/>
        <v>72000000</v>
      </c>
      <c r="AN116" s="99"/>
    </row>
    <row r="117" spans="11:43">
      <c r="Q117" s="169" t="s">
        <v>4457</v>
      </c>
      <c r="R117" s="169" t="s">
        <v>4475</v>
      </c>
      <c r="S117" s="169" t="s">
        <v>4477</v>
      </c>
      <c r="T117" s="169" t="s">
        <v>180</v>
      </c>
      <c r="U117" s="169" t="s">
        <v>4471</v>
      </c>
      <c r="V117" s="56" t="s">
        <v>4474</v>
      </c>
      <c r="W117" s="99"/>
      <c r="X117" s="115"/>
      <c r="AH117" s="99">
        <v>97</v>
      </c>
      <c r="AI117" s="113" t="s">
        <v>4636</v>
      </c>
      <c r="AJ117" s="113">
        <v>-9000000</v>
      </c>
      <c r="AK117" s="99">
        <v>0</v>
      </c>
      <c r="AL117" s="99">
        <f t="shared" si="23"/>
        <v>17</v>
      </c>
      <c r="AM117" s="117">
        <f t="shared" si="10"/>
        <v>-153000000</v>
      </c>
      <c r="AN117" s="99"/>
      <c r="AP117" t="s">
        <v>25</v>
      </c>
    </row>
    <row r="118" spans="11:43">
      <c r="Q118" s="169" t="s">
        <v>751</v>
      </c>
      <c r="R118" s="56">
        <v>1123908</v>
      </c>
      <c r="S118" s="113">
        <f>R118*$T$159</f>
        <v>269050939.99876499</v>
      </c>
      <c r="T118" s="169" t="s">
        <v>4469</v>
      </c>
      <c r="U118" s="169">
        <f>$Q$116*$T$116*S118/$R$141</f>
        <v>441.94477911962429</v>
      </c>
      <c r="V118" s="95">
        <f>S118+U118</f>
        <v>269051381.94354409</v>
      </c>
      <c r="W118" s="99">
        <f>R118*100/U156</f>
        <v>58.925970549283235</v>
      </c>
      <c r="X118" s="163"/>
      <c r="AH118" s="99">
        <v>98</v>
      </c>
      <c r="AI118" s="113" t="s">
        <v>4636</v>
      </c>
      <c r="AJ118" s="113">
        <v>13900000</v>
      </c>
      <c r="AK118" s="99">
        <v>2</v>
      </c>
      <c r="AL118" s="99">
        <f t="shared" si="23"/>
        <v>17</v>
      </c>
      <c r="AM118" s="117">
        <f t="shared" si="10"/>
        <v>236300000</v>
      </c>
      <c r="AN118" s="99"/>
    </row>
    <row r="119" spans="11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169" t="s">
        <v>4459</v>
      </c>
      <c r="R119" s="56">
        <v>725584</v>
      </c>
      <c r="S119" s="113">
        <f>R119*$T$159</f>
        <v>173696652.43780085</v>
      </c>
      <c r="T119" s="169" t="s">
        <v>4469</v>
      </c>
      <c r="U119" s="169">
        <f>$Q$116*$T$116*S119/$R$141+Q116*R116</f>
        <v>535.31522207576904</v>
      </c>
      <c r="V119" s="95">
        <f>S119+U119</f>
        <v>173697187.75302294</v>
      </c>
      <c r="W119" s="99">
        <f>R119*100/U156</f>
        <v>38.042029610102539</v>
      </c>
      <c r="X119" s="115"/>
      <c r="AH119" s="99">
        <v>99</v>
      </c>
      <c r="AI119" s="113" t="s">
        <v>4646</v>
      </c>
      <c r="AJ119" s="113">
        <v>-8127577</v>
      </c>
      <c r="AK119" s="99">
        <v>1</v>
      </c>
      <c r="AL119" s="99">
        <f t="shared" si="23"/>
        <v>15</v>
      </c>
      <c r="AM119" s="117">
        <f t="shared" si="10"/>
        <v>-121913655</v>
      </c>
      <c r="AN119" s="99"/>
      <c r="AO119" t="s">
        <v>25</v>
      </c>
    </row>
    <row r="120" spans="11:43">
      <c r="K120" s="169" t="s">
        <v>4244</v>
      </c>
      <c r="L120" s="170">
        <v>1100000</v>
      </c>
      <c r="M120" s="170">
        <v>1637000</v>
      </c>
      <c r="N120" s="169">
        <f t="shared" ref="N120:N128" si="25">(M120-L120)*100/L120</f>
        <v>48.81818181818182</v>
      </c>
      <c r="P120" s="114"/>
      <c r="Q120" s="169" t="s">
        <v>4458</v>
      </c>
      <c r="R120" s="56">
        <v>57830</v>
      </c>
      <c r="S120" s="113">
        <f>R120*$T$159</f>
        <v>13843851.863434177</v>
      </c>
      <c r="T120" s="169" t="s">
        <v>4469</v>
      </c>
      <c r="U120" s="169">
        <f>$Q$116*$T$116*S120/$R$141</f>
        <v>22.739998804606667</v>
      </c>
      <c r="V120" s="95">
        <f>S120+U120</f>
        <v>13843874.603432981</v>
      </c>
      <c r="W120" s="99">
        <f>R120*100/U156</f>
        <v>3.0319998406142226</v>
      </c>
      <c r="X120" s="115"/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14</v>
      </c>
      <c r="AM120" s="117">
        <f t="shared" si="10"/>
        <v>221095686</v>
      </c>
      <c r="AN120" s="99"/>
      <c r="AO120" t="s">
        <v>25</v>
      </c>
      <c r="AP120" t="s">
        <v>25</v>
      </c>
    </row>
    <row r="121" spans="11:43">
      <c r="K121" s="5" t="s">
        <v>4550</v>
      </c>
      <c r="L121" s="170">
        <v>1100000</v>
      </c>
      <c r="M121" s="170">
        <v>4748000</v>
      </c>
      <c r="N121" s="169">
        <f t="shared" si="25"/>
        <v>331.63636363636363</v>
      </c>
      <c r="Q121" s="169"/>
      <c r="R121" s="56"/>
      <c r="S121" s="169"/>
      <c r="T121" s="169"/>
      <c r="U121" s="169"/>
      <c r="V121" s="99"/>
      <c r="W121" s="99"/>
      <c r="X121" s="115"/>
      <c r="AH121" s="99">
        <v>101</v>
      </c>
      <c r="AI121" s="113" t="s">
        <v>4652</v>
      </c>
      <c r="AJ121" s="113">
        <v>8800000</v>
      </c>
      <c r="AK121" s="99">
        <v>0</v>
      </c>
      <c r="AL121" s="99">
        <f t="shared" ref="AL121:AL125" si="26">AL122+AK121</f>
        <v>11</v>
      </c>
      <c r="AM121" s="117">
        <f t="shared" ref="AM121:AM138" si="27">AJ121*AL121</f>
        <v>96800000</v>
      </c>
      <c r="AN121" s="99"/>
      <c r="AP121" t="s">
        <v>25</v>
      </c>
    </row>
    <row r="122" spans="11:43" ht="45">
      <c r="K122" s="5" t="s">
        <v>4551</v>
      </c>
      <c r="L122" s="170">
        <v>1100000</v>
      </c>
      <c r="M122" s="170">
        <v>5137000</v>
      </c>
      <c r="N122" s="169">
        <f t="shared" si="25"/>
        <v>367</v>
      </c>
      <c r="Q122" s="169"/>
      <c r="R122" s="56"/>
      <c r="S122" s="169"/>
      <c r="T122" s="169"/>
      <c r="U122" s="169"/>
      <c r="V122" s="169"/>
      <c r="W122" s="99"/>
      <c r="X122" s="96"/>
      <c r="Y122" t="s">
        <v>25</v>
      </c>
      <c r="AH122" s="121">
        <v>102</v>
      </c>
      <c r="AI122" s="79" t="s">
        <v>4652</v>
      </c>
      <c r="AJ122" s="79">
        <v>13071612</v>
      </c>
      <c r="AK122" s="121">
        <v>1</v>
      </c>
      <c r="AL122" s="121">
        <f t="shared" si="26"/>
        <v>11</v>
      </c>
      <c r="AM122" s="79">
        <f t="shared" si="27"/>
        <v>143787732</v>
      </c>
      <c r="AN122" s="212" t="s">
        <v>4657</v>
      </c>
      <c r="AQ122" t="s">
        <v>25</v>
      </c>
    </row>
    <row r="123" spans="11:43">
      <c r="K123" s="19" t="s">
        <v>4397</v>
      </c>
      <c r="L123" s="170">
        <v>1100000</v>
      </c>
      <c r="M123" s="170">
        <v>4300000</v>
      </c>
      <c r="N123" s="169">
        <f t="shared" si="25"/>
        <v>290.90909090909093</v>
      </c>
      <c r="Q123" s="169"/>
      <c r="R123" s="169"/>
      <c r="S123" s="169"/>
      <c r="T123" s="169"/>
      <c r="U123" s="169"/>
      <c r="V123" s="169"/>
      <c r="W123" s="99"/>
      <c r="X123" s="96"/>
      <c r="AH123" s="89">
        <v>103</v>
      </c>
      <c r="AI123" s="90" t="s">
        <v>4660</v>
      </c>
      <c r="AJ123" s="90">
        <v>16727037</v>
      </c>
      <c r="AK123" s="89">
        <v>0</v>
      </c>
      <c r="AL123" s="89">
        <f t="shared" si="26"/>
        <v>10</v>
      </c>
      <c r="AM123" s="90">
        <f t="shared" si="27"/>
        <v>167270370</v>
      </c>
      <c r="AN123" s="89" t="s">
        <v>4677</v>
      </c>
    </row>
    <row r="124" spans="11:43">
      <c r="K124" s="5" t="s">
        <v>4416</v>
      </c>
      <c r="L124" s="170">
        <v>1100000</v>
      </c>
      <c r="M124" s="170">
        <v>3191000</v>
      </c>
      <c r="N124" s="169">
        <f t="shared" si="25"/>
        <v>190.09090909090909</v>
      </c>
      <c r="P124" s="114"/>
      <c r="Q124" s="99"/>
      <c r="R124" s="99"/>
      <c r="S124" s="99"/>
      <c r="T124" s="99" t="s">
        <v>25</v>
      </c>
      <c r="U124" s="99"/>
      <c r="V124" s="99"/>
      <c r="W124" s="99"/>
      <c r="X124" s="96"/>
      <c r="Y124" t="s">
        <v>25</v>
      </c>
      <c r="AH124" s="99">
        <v>104</v>
      </c>
      <c r="AI124" s="113" t="s">
        <v>4660</v>
      </c>
      <c r="AJ124" s="113">
        <v>12000000</v>
      </c>
      <c r="AK124" s="99">
        <v>1</v>
      </c>
      <c r="AL124" s="99">
        <f t="shared" si="26"/>
        <v>10</v>
      </c>
      <c r="AM124" s="117">
        <f t="shared" si="27"/>
        <v>120000000</v>
      </c>
      <c r="AN124" s="99" t="s">
        <v>4678</v>
      </c>
    </row>
    <row r="125" spans="11:43">
      <c r="K125" s="5" t="s">
        <v>4552</v>
      </c>
      <c r="L125" s="170">
        <v>1100000</v>
      </c>
      <c r="M125" s="170">
        <v>5623000</v>
      </c>
      <c r="N125" s="169">
        <f t="shared" si="25"/>
        <v>411.18181818181819</v>
      </c>
      <c r="Q125" s="99"/>
      <c r="R125" s="99"/>
      <c r="S125" s="99"/>
      <c r="T125" s="99"/>
      <c r="U125" s="99"/>
      <c r="V125" s="99"/>
      <c r="W125" s="99"/>
      <c r="X125" s="96"/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6"/>
        <v>9</v>
      </c>
      <c r="AM125" s="90">
        <f t="shared" si="27"/>
        <v>798279003</v>
      </c>
      <c r="AN125" s="89" t="s">
        <v>4679</v>
      </c>
      <c r="AP125" t="s">
        <v>25</v>
      </c>
    </row>
    <row r="126" spans="11:43">
      <c r="K126" s="19" t="s">
        <v>4401</v>
      </c>
      <c r="L126" s="170">
        <v>1100000</v>
      </c>
      <c r="M126" s="170">
        <v>7728000</v>
      </c>
      <c r="N126" s="169">
        <f t="shared" si="25"/>
        <v>602.5454545454545</v>
      </c>
      <c r="Q126" s="99"/>
      <c r="R126" s="99"/>
      <c r="S126" s="99"/>
      <c r="T126" s="99"/>
      <c r="U126" s="99"/>
      <c r="V126" s="99"/>
      <c r="W126" s="99"/>
      <c r="X126" s="96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8</v>
      </c>
      <c r="AM126" s="117">
        <f t="shared" si="27"/>
        <v>808000</v>
      </c>
      <c r="AN126" s="99"/>
    </row>
    <row r="127" spans="11:43">
      <c r="K127" s="5" t="s">
        <v>4554</v>
      </c>
      <c r="L127" s="170">
        <v>1100000</v>
      </c>
      <c r="M127" s="170">
        <v>2904000</v>
      </c>
      <c r="N127" s="169">
        <f t="shared" si="25"/>
        <v>164</v>
      </c>
      <c r="Q127" s="96"/>
      <c r="R127" s="96"/>
      <c r="S127" s="96"/>
      <c r="T127" s="96"/>
      <c r="V127" s="96"/>
      <c r="X127" s="115"/>
      <c r="AH127" s="149">
        <v>107</v>
      </c>
      <c r="AI127" s="191" t="s">
        <v>4676</v>
      </c>
      <c r="AJ127" s="191">
        <v>-48200</v>
      </c>
      <c r="AK127" s="149">
        <v>0</v>
      </c>
      <c r="AL127" s="149">
        <f t="shared" ref="AL127:AL138" si="28">AL128+AK127</f>
        <v>8</v>
      </c>
      <c r="AM127" s="191">
        <f t="shared" si="27"/>
        <v>-385600</v>
      </c>
      <c r="AN127" s="149" t="s">
        <v>4688</v>
      </c>
      <c r="AQ127" t="s">
        <v>25</v>
      </c>
    </row>
    <row r="128" spans="11:43">
      <c r="K128" s="56" t="s">
        <v>1086</v>
      </c>
      <c r="L128" s="170">
        <v>1100000</v>
      </c>
      <c r="M128" s="170">
        <v>3400000</v>
      </c>
      <c r="N128" s="169">
        <f t="shared" si="25"/>
        <v>209.09090909090909</v>
      </c>
      <c r="Q128" s="96"/>
      <c r="R128" s="96"/>
      <c r="S128" s="96"/>
      <c r="T128" s="96"/>
      <c r="V128" s="96"/>
      <c r="AH128" s="89">
        <v>108</v>
      </c>
      <c r="AI128" s="90" t="s">
        <v>4676</v>
      </c>
      <c r="AJ128" s="90">
        <v>39327293</v>
      </c>
      <c r="AK128" s="89">
        <v>4</v>
      </c>
      <c r="AL128" s="149">
        <f t="shared" si="28"/>
        <v>8</v>
      </c>
      <c r="AM128" s="191">
        <f t="shared" si="27"/>
        <v>314618344</v>
      </c>
      <c r="AN128" s="89" t="s">
        <v>4689</v>
      </c>
    </row>
    <row r="129" spans="11:43">
      <c r="K129" s="210" t="s">
        <v>4589</v>
      </c>
      <c r="P129" s="114"/>
      <c r="Q129" s="96"/>
      <c r="R129" s="96"/>
      <c r="S129" s="96"/>
      <c r="T129" s="96" t="s">
        <v>25</v>
      </c>
      <c r="V129" s="96"/>
      <c r="AH129" s="89">
        <v>109</v>
      </c>
      <c r="AI129" s="90" t="s">
        <v>4710</v>
      </c>
      <c r="AJ129" s="90">
        <v>8749050</v>
      </c>
      <c r="AK129" s="89">
        <v>1</v>
      </c>
      <c r="AL129" s="89">
        <f t="shared" si="28"/>
        <v>4</v>
      </c>
      <c r="AM129" s="90">
        <f t="shared" si="27"/>
        <v>34996200</v>
      </c>
      <c r="AN129" s="89" t="s">
        <v>4714</v>
      </c>
    </row>
    <row r="130" spans="11:43">
      <c r="K130" s="210" t="s">
        <v>4590</v>
      </c>
      <c r="Q130" s="96"/>
      <c r="R130" s="96"/>
      <c r="S130" s="96"/>
      <c r="T130" s="96"/>
      <c r="V130" s="96"/>
      <c r="AH130" s="99">
        <v>110</v>
      </c>
      <c r="AI130" s="113" t="s">
        <v>4716</v>
      </c>
      <c r="AJ130" s="113">
        <v>60000</v>
      </c>
      <c r="AK130" s="99">
        <v>1</v>
      </c>
      <c r="AL130" s="99">
        <f t="shared" si="28"/>
        <v>3</v>
      </c>
      <c r="AM130" s="117">
        <f t="shared" si="27"/>
        <v>180000</v>
      </c>
      <c r="AN130" s="99" t="s">
        <v>4717</v>
      </c>
      <c r="AQ130" t="s">
        <v>25</v>
      </c>
    </row>
    <row r="131" spans="11:43">
      <c r="K131" s="210" t="s">
        <v>4591</v>
      </c>
      <c r="Q131" s="96"/>
      <c r="R131" s="96"/>
      <c r="S131" s="96"/>
      <c r="T131" s="99" t="s">
        <v>180</v>
      </c>
      <c r="U131" s="99" t="s">
        <v>4493</v>
      </c>
      <c r="V131" s="99" t="s">
        <v>4494</v>
      </c>
      <c r="W131" s="99" t="s">
        <v>4504</v>
      </c>
      <c r="X131" s="99" t="s">
        <v>8</v>
      </c>
      <c r="AH131" s="20">
        <v>111</v>
      </c>
      <c r="AI131" s="117" t="s">
        <v>4728</v>
      </c>
      <c r="AJ131" s="117">
        <v>4750000</v>
      </c>
      <c r="AK131" s="20">
        <v>0</v>
      </c>
      <c r="AL131" s="99">
        <f t="shared" si="28"/>
        <v>2</v>
      </c>
      <c r="AM131" s="117">
        <f t="shared" si="27"/>
        <v>9500000</v>
      </c>
      <c r="AN131" s="20"/>
    </row>
    <row r="132" spans="11:43">
      <c r="Q132" s="36" t="s">
        <v>4592</v>
      </c>
      <c r="R132" s="95">
        <f>SUM(N42:N59)</f>
        <v>413928757.5</v>
      </c>
      <c r="T132" s="113" t="s">
        <v>4469</v>
      </c>
      <c r="U132" s="56">
        <v>1000000</v>
      </c>
      <c r="V132" s="113">
        <v>239.024</v>
      </c>
      <c r="W132" s="113">
        <f t="shared" ref="W132:W153" si="29">U132*V132</f>
        <v>239024000</v>
      </c>
      <c r="X132" s="99"/>
      <c r="AH132" s="89">
        <v>112</v>
      </c>
      <c r="AI132" s="90" t="s">
        <v>4728</v>
      </c>
      <c r="AJ132" s="90">
        <v>13101160</v>
      </c>
      <c r="AK132" s="89">
        <v>1</v>
      </c>
      <c r="AL132" s="89">
        <f t="shared" si="28"/>
        <v>2</v>
      </c>
      <c r="AM132" s="90">
        <f t="shared" si="27"/>
        <v>26202320</v>
      </c>
      <c r="AN132" s="89" t="s">
        <v>4735</v>
      </c>
    </row>
    <row r="133" spans="11:43">
      <c r="Q133" s="99" t="s">
        <v>4460</v>
      </c>
      <c r="R133" s="95">
        <f>SUM(N21:N24)</f>
        <v>25132736.199999999</v>
      </c>
      <c r="T133" s="169" t="s">
        <v>4451</v>
      </c>
      <c r="U133" s="56">
        <v>5904</v>
      </c>
      <c r="V133" s="113">
        <v>237.148</v>
      </c>
      <c r="W133" s="113">
        <f t="shared" si="29"/>
        <v>1400121.7919999999</v>
      </c>
      <c r="X133" s="99" t="s">
        <v>751</v>
      </c>
      <c r="AH133" s="20">
        <v>113</v>
      </c>
      <c r="AI133" s="117" t="s">
        <v>4734</v>
      </c>
      <c r="AJ133" s="117">
        <v>-1000000</v>
      </c>
      <c r="AK133" s="20">
        <v>1</v>
      </c>
      <c r="AL133" s="99">
        <f t="shared" si="28"/>
        <v>1</v>
      </c>
      <c r="AM133" s="117">
        <f t="shared" si="27"/>
        <v>-1000000</v>
      </c>
      <c r="AN133" s="20"/>
    </row>
    <row r="134" spans="11:43">
      <c r="P134" s="114"/>
      <c r="Q134" s="99" t="s">
        <v>4461</v>
      </c>
      <c r="R134" s="95">
        <f>SUM(N27:N29)</f>
        <v>3503872.6</v>
      </c>
      <c r="T134" s="169" t="s">
        <v>4233</v>
      </c>
      <c r="U134" s="169">
        <v>1000</v>
      </c>
      <c r="V134" s="113">
        <v>247.393</v>
      </c>
      <c r="W134" s="113">
        <f t="shared" si="29"/>
        <v>247393</v>
      </c>
      <c r="X134" s="99" t="s">
        <v>751</v>
      </c>
      <c r="AH134" s="20"/>
      <c r="AI134" s="117"/>
      <c r="AJ134" s="117"/>
      <c r="AK134" s="20"/>
      <c r="AL134" s="99">
        <f t="shared" si="28"/>
        <v>0</v>
      </c>
      <c r="AM134" s="117">
        <f t="shared" si="27"/>
        <v>0</v>
      </c>
      <c r="AN134" s="20"/>
    </row>
    <row r="135" spans="11:43">
      <c r="P135" s="114"/>
      <c r="Q135" s="99" t="s">
        <v>4462</v>
      </c>
      <c r="R135" s="95">
        <f>N40</f>
        <v>13103482</v>
      </c>
      <c r="T135" s="169" t="s">
        <v>4506</v>
      </c>
      <c r="U135" s="169">
        <v>8071</v>
      </c>
      <c r="V135" s="113">
        <v>247.797</v>
      </c>
      <c r="W135" s="113">
        <f t="shared" si="29"/>
        <v>1999969.5870000001</v>
      </c>
      <c r="X135" s="99" t="s">
        <v>4458</v>
      </c>
      <c r="AH135" s="20"/>
      <c r="AI135" s="117"/>
      <c r="AJ135" s="117"/>
      <c r="AK135" s="20"/>
      <c r="AL135" s="99">
        <f t="shared" si="28"/>
        <v>0</v>
      </c>
      <c r="AM135" s="117">
        <f t="shared" si="27"/>
        <v>0</v>
      </c>
      <c r="AN135" s="20"/>
      <c r="AQ135" t="s">
        <v>25</v>
      </c>
    </row>
    <row r="136" spans="11:43">
      <c r="Q136" s="99" t="s">
        <v>4463</v>
      </c>
      <c r="R136" s="95">
        <f>N20</f>
        <v>3128</v>
      </c>
      <c r="T136" s="169" t="s">
        <v>4506</v>
      </c>
      <c r="U136" s="169">
        <v>53672</v>
      </c>
      <c r="V136" s="113">
        <v>247.797</v>
      </c>
      <c r="W136" s="113">
        <f t="shared" si="29"/>
        <v>13299760.584000001</v>
      </c>
      <c r="X136" s="99" t="s">
        <v>452</v>
      </c>
      <c r="Y136" t="s">
        <v>25</v>
      </c>
      <c r="AH136" s="99"/>
      <c r="AI136" s="113"/>
      <c r="AJ136" s="113"/>
      <c r="AK136" s="99"/>
      <c r="AL136" s="99">
        <f t="shared" si="28"/>
        <v>0</v>
      </c>
      <c r="AM136" s="117">
        <f t="shared" si="27"/>
        <v>0</v>
      </c>
      <c r="AN136" s="99"/>
    </row>
    <row r="137" spans="11:43">
      <c r="Q137" s="99" t="s">
        <v>4464</v>
      </c>
      <c r="R137" s="95">
        <f>N26</f>
        <v>3128</v>
      </c>
      <c r="T137" s="169" t="s">
        <v>4516</v>
      </c>
      <c r="U137" s="169">
        <v>4099</v>
      </c>
      <c r="V137" s="113">
        <v>243.93</v>
      </c>
      <c r="W137" s="113">
        <f t="shared" si="29"/>
        <v>999869.07000000007</v>
      </c>
      <c r="X137" s="99" t="s">
        <v>4458</v>
      </c>
      <c r="Y137" t="s">
        <v>25</v>
      </c>
      <c r="Z137" t="s">
        <v>25</v>
      </c>
      <c r="AH137" s="99"/>
      <c r="AI137" s="113"/>
      <c r="AJ137" s="113"/>
      <c r="AK137" s="99"/>
      <c r="AL137" s="99">
        <f t="shared" si="28"/>
        <v>0</v>
      </c>
      <c r="AM137" s="117">
        <f t="shared" si="27"/>
        <v>0</v>
      </c>
      <c r="AN137" s="99"/>
    </row>
    <row r="138" spans="11:43">
      <c r="Q138" s="99" t="s">
        <v>4476</v>
      </c>
      <c r="R138" s="95">
        <v>895221</v>
      </c>
      <c r="T138" s="169" t="s">
        <v>4516</v>
      </c>
      <c r="U138" s="169">
        <v>9301</v>
      </c>
      <c r="V138" s="113">
        <v>243.93</v>
      </c>
      <c r="W138" s="113">
        <f t="shared" si="29"/>
        <v>2268792.9300000002</v>
      </c>
      <c r="X138" s="99" t="s">
        <v>452</v>
      </c>
      <c r="AH138" s="99"/>
      <c r="AI138" s="113"/>
      <c r="AJ138" s="113"/>
      <c r="AK138" s="99"/>
      <c r="AL138" s="99">
        <f t="shared" si="28"/>
        <v>0</v>
      </c>
      <c r="AM138" s="117">
        <f t="shared" si="27"/>
        <v>0</v>
      </c>
      <c r="AN138" s="99"/>
    </row>
    <row r="139" spans="11:43">
      <c r="Q139" s="99"/>
      <c r="R139" s="95"/>
      <c r="T139" s="169" t="s">
        <v>4524</v>
      </c>
      <c r="U139" s="169">
        <v>8334</v>
      </c>
      <c r="V139" s="113">
        <v>239.97</v>
      </c>
      <c r="W139" s="113">
        <f t="shared" si="29"/>
        <v>1999909.98</v>
      </c>
      <c r="X139" s="99" t="s">
        <v>4458</v>
      </c>
      <c r="AH139" s="99"/>
      <c r="AI139" s="113"/>
      <c r="AJ139" s="113"/>
      <c r="AK139" s="99"/>
      <c r="AL139" s="99">
        <f t="shared" si="23"/>
        <v>0</v>
      </c>
      <c r="AM139" s="117">
        <f t="shared" si="10"/>
        <v>0</v>
      </c>
      <c r="AN139" s="99"/>
    </row>
    <row r="140" spans="11:43">
      <c r="Q140" s="99" t="s">
        <v>4612</v>
      </c>
      <c r="R140" s="95">
        <v>21119</v>
      </c>
      <c r="T140" s="169" t="s">
        <v>4232</v>
      </c>
      <c r="U140" s="169">
        <v>29041</v>
      </c>
      <c r="V140" s="113">
        <v>233.45</v>
      </c>
      <c r="W140" s="113">
        <f t="shared" si="29"/>
        <v>6779621.4499999993</v>
      </c>
      <c r="X140" s="99" t="s">
        <v>751</v>
      </c>
      <c r="AH140" s="99"/>
      <c r="AI140" s="99"/>
      <c r="AJ140" s="95">
        <f>SUM(AJ20:AJ139)</f>
        <v>431637622</v>
      </c>
      <c r="AK140" s="99"/>
      <c r="AL140" s="99"/>
      <c r="AM140" s="95">
        <f>SUM(AM20:AM139)</f>
        <v>36931183298</v>
      </c>
      <c r="AN140" s="95">
        <f>AM140*AN143/31</f>
        <v>23826569.869677421</v>
      </c>
    </row>
    <row r="141" spans="11:43">
      <c r="Q141" s="99" t="s">
        <v>4468</v>
      </c>
      <c r="R141" s="95">
        <f>SUM(R132:R140)</f>
        <v>456591444.30000001</v>
      </c>
      <c r="S141" s="115"/>
      <c r="T141" s="169" t="s">
        <v>994</v>
      </c>
      <c r="U141" s="169">
        <v>12337</v>
      </c>
      <c r="V141" s="113">
        <v>243.16300000000001</v>
      </c>
      <c r="W141" s="113">
        <f t="shared" si="29"/>
        <v>2999901.9310000003</v>
      </c>
      <c r="X141" s="99" t="s">
        <v>4458</v>
      </c>
      <c r="AH141" s="99"/>
      <c r="AI141" s="99"/>
      <c r="AJ141" s="99" t="s">
        <v>4060</v>
      </c>
      <c r="AK141" s="99"/>
      <c r="AL141" s="99"/>
      <c r="AM141" s="99" t="s">
        <v>284</v>
      </c>
      <c r="AN141" s="99" t="s">
        <v>943</v>
      </c>
      <c r="AP141" t="s">
        <v>25</v>
      </c>
    </row>
    <row r="142" spans="11:43">
      <c r="Q142" s="96"/>
      <c r="S142" s="122"/>
      <c r="T142" s="169" t="s">
        <v>4620</v>
      </c>
      <c r="U142" s="169">
        <v>-16118</v>
      </c>
      <c r="V142" s="113">
        <v>248.17</v>
      </c>
      <c r="W142" s="113">
        <f t="shared" si="29"/>
        <v>-4000004.0599999996</v>
      </c>
      <c r="X142" s="99" t="s">
        <v>751</v>
      </c>
      <c r="AH142" s="99"/>
      <c r="AI142" s="99"/>
      <c r="AJ142" s="99"/>
      <c r="AK142" s="99"/>
      <c r="AL142" s="99"/>
      <c r="AM142" s="99"/>
      <c r="AN142" s="99"/>
    </row>
    <row r="143" spans="11:43">
      <c r="Q143" s="96"/>
      <c r="R143" s="184"/>
      <c r="S143" s="115"/>
      <c r="T143" s="169" t="s">
        <v>4652</v>
      </c>
      <c r="U143" s="169">
        <v>101681</v>
      </c>
      <c r="V143" s="113">
        <v>246.5711</v>
      </c>
      <c r="W143" s="113">
        <f t="shared" si="29"/>
        <v>25071596.019099999</v>
      </c>
      <c r="X143" s="99" t="s">
        <v>452</v>
      </c>
      <c r="AH143" s="99"/>
      <c r="AI143" s="99"/>
      <c r="AJ143" s="99"/>
      <c r="AK143" s="99"/>
      <c r="AL143" s="99"/>
      <c r="AM143" s="99" t="s">
        <v>4061</v>
      </c>
      <c r="AN143" s="99">
        <v>0.02</v>
      </c>
    </row>
    <row r="144" spans="11:43">
      <c r="Q144" s="96"/>
      <c r="R144" s="184"/>
      <c r="S144" s="115"/>
      <c r="T144" s="169" t="s">
        <v>4660</v>
      </c>
      <c r="U144" s="169">
        <v>66606</v>
      </c>
      <c r="V144" s="113">
        <v>251.131</v>
      </c>
      <c r="W144" s="113">
        <f t="shared" si="29"/>
        <v>16726831.386</v>
      </c>
      <c r="X144" s="99" t="s">
        <v>751</v>
      </c>
      <c r="AH144" s="99"/>
      <c r="AI144" s="99"/>
      <c r="AJ144" s="99"/>
      <c r="AK144" s="99"/>
      <c r="AL144" s="99"/>
      <c r="AM144" s="99"/>
      <c r="AN144" s="99"/>
    </row>
    <row r="145" spans="17:44">
      <c r="Q145" s="96"/>
      <c r="R145" s="115"/>
      <c r="T145" s="169" t="s">
        <v>4673</v>
      </c>
      <c r="U145" s="169">
        <v>172025</v>
      </c>
      <c r="V145" s="113">
        <v>245.52809999999999</v>
      </c>
      <c r="W145" s="113">
        <f t="shared" si="29"/>
        <v>42236971.402499996</v>
      </c>
      <c r="X145" s="99" t="s">
        <v>452</v>
      </c>
      <c r="AH145" s="99"/>
      <c r="AI145" s="99" t="s">
        <v>4062</v>
      </c>
      <c r="AJ145" s="95">
        <f>AJ140+AN140</f>
        <v>455464191.86967742</v>
      </c>
      <c r="AK145" s="99"/>
      <c r="AL145" s="99"/>
      <c r="AM145" s="99"/>
      <c r="AN145" s="99"/>
    </row>
    <row r="146" spans="17:44">
      <c r="T146" s="169" t="s">
        <v>4673</v>
      </c>
      <c r="U146" s="169">
        <v>189227</v>
      </c>
      <c r="V146" s="113">
        <v>245.52809999999999</v>
      </c>
      <c r="W146" s="113">
        <f t="shared" si="29"/>
        <v>46460545.778700002</v>
      </c>
      <c r="X146" s="99" t="s">
        <v>751</v>
      </c>
      <c r="AI146" t="s">
        <v>4065</v>
      </c>
      <c r="AJ146" s="114">
        <f>SUM(N40:N59)</f>
        <v>427032239.5</v>
      </c>
      <c r="AR146" t="s">
        <v>25</v>
      </c>
    </row>
    <row r="147" spans="17:44">
      <c r="Q147" s="99" t="s">
        <v>4458</v>
      </c>
      <c r="R147" s="99"/>
      <c r="T147" s="169" t="s">
        <v>4676</v>
      </c>
      <c r="U147" s="169">
        <v>79720</v>
      </c>
      <c r="V147" s="113">
        <v>246.6568</v>
      </c>
      <c r="W147" s="113">
        <f t="shared" si="29"/>
        <v>19663480.096000001</v>
      </c>
      <c r="X147" s="99" t="s">
        <v>452</v>
      </c>
      <c r="AI147" t="s">
        <v>4137</v>
      </c>
      <c r="AJ147" s="114">
        <f>AJ146-AJ140</f>
        <v>-4605382.5</v>
      </c>
      <c r="AM147" t="s">
        <v>25</v>
      </c>
    </row>
    <row r="148" spans="17:44">
      <c r="Q148" s="36" t="s">
        <v>180</v>
      </c>
      <c r="R148" s="99" t="s">
        <v>267</v>
      </c>
      <c r="T148" s="169" t="s">
        <v>4676</v>
      </c>
      <c r="U148" s="169">
        <v>79720</v>
      </c>
      <c r="V148" s="113">
        <v>246.6568</v>
      </c>
      <c r="W148" s="113">
        <f t="shared" si="29"/>
        <v>19663480.096000001</v>
      </c>
      <c r="X148" s="99" t="s">
        <v>751</v>
      </c>
      <c r="AI148" t="s">
        <v>943</v>
      </c>
      <c r="AJ148" s="114">
        <f>AN140</f>
        <v>23826569.869677421</v>
      </c>
    </row>
    <row r="149" spans="17:44">
      <c r="Q149" s="99" t="s">
        <v>4451</v>
      </c>
      <c r="R149" s="95">
        <v>3000000</v>
      </c>
      <c r="T149" s="169" t="s">
        <v>4710</v>
      </c>
      <c r="U149" s="169">
        <v>17769</v>
      </c>
      <c r="V149" s="113">
        <v>246.17877999999999</v>
      </c>
      <c r="W149" s="113">
        <f t="shared" si="29"/>
        <v>4374350.7418200001</v>
      </c>
      <c r="X149" s="99" t="s">
        <v>751</v>
      </c>
      <c r="AI149" t="s">
        <v>4066</v>
      </c>
      <c r="AJ149" s="114">
        <f>AJ146-AJ145</f>
        <v>-28431952.369677424</v>
      </c>
    </row>
    <row r="150" spans="17:44">
      <c r="Q150" s="99" t="s">
        <v>4506</v>
      </c>
      <c r="R150" s="95">
        <v>2000000</v>
      </c>
      <c r="T150" s="169" t="s">
        <v>4710</v>
      </c>
      <c r="U150" s="169">
        <v>17769</v>
      </c>
      <c r="V150" s="113">
        <v>246.17877999999999</v>
      </c>
      <c r="W150" s="113">
        <f t="shared" si="29"/>
        <v>4374350.7418200001</v>
      </c>
      <c r="X150" s="99" t="s">
        <v>452</v>
      </c>
      <c r="AM150" t="s">
        <v>25</v>
      </c>
    </row>
    <row r="151" spans="17:44">
      <c r="Q151" s="99" t="s">
        <v>4516</v>
      </c>
      <c r="R151" s="95">
        <v>1000000</v>
      </c>
      <c r="T151" s="169" t="s">
        <v>4716</v>
      </c>
      <c r="U151" s="169">
        <v>12438</v>
      </c>
      <c r="V151" s="113">
        <v>241.20465999999999</v>
      </c>
      <c r="W151" s="113">
        <f t="shared" si="29"/>
        <v>3000103.5610799999</v>
      </c>
      <c r="X151" s="99" t="s">
        <v>4458</v>
      </c>
      <c r="AJ151" t="s">
        <v>25</v>
      </c>
    </row>
    <row r="152" spans="17:44">
      <c r="Q152" s="99" t="s">
        <v>4524</v>
      </c>
      <c r="R152" s="95">
        <v>2000000</v>
      </c>
      <c r="T152" s="169" t="s">
        <v>4728</v>
      </c>
      <c r="U152" s="169">
        <v>27363</v>
      </c>
      <c r="V152" s="113">
        <v>239.3886</v>
      </c>
      <c r="W152" s="113">
        <f t="shared" si="29"/>
        <v>6550390.2617999995</v>
      </c>
      <c r="X152" s="99" t="s">
        <v>751</v>
      </c>
    </row>
    <row r="153" spans="17:44">
      <c r="Q153" s="99" t="s">
        <v>994</v>
      </c>
      <c r="R153" s="95">
        <v>3000000</v>
      </c>
      <c r="T153" s="169" t="s">
        <v>4728</v>
      </c>
      <c r="U153" s="169">
        <v>27363</v>
      </c>
      <c r="V153" s="113">
        <v>239.3886</v>
      </c>
      <c r="W153" s="113">
        <f t="shared" si="29"/>
        <v>6550390.2617999995</v>
      </c>
      <c r="X153" s="99" t="s">
        <v>452</v>
      </c>
    </row>
    <row r="154" spans="17:44">
      <c r="Q154" s="99" t="s">
        <v>4716</v>
      </c>
      <c r="R154" s="95">
        <v>3000000</v>
      </c>
      <c r="T154" s="169"/>
      <c r="U154" s="169"/>
      <c r="V154" s="113"/>
      <c r="W154" s="113"/>
      <c r="X154" s="99"/>
    </row>
    <row r="155" spans="17:44">
      <c r="Q155" s="99"/>
      <c r="R155" s="95"/>
      <c r="T155" s="169"/>
      <c r="U155" s="169"/>
      <c r="V155" s="113"/>
      <c r="W155" s="113"/>
      <c r="X155" s="99"/>
    </row>
    <row r="156" spans="17:44">
      <c r="Q156" s="99"/>
      <c r="R156" s="95"/>
      <c r="T156" s="169"/>
      <c r="U156" s="169">
        <f>SUM(U132:U155)</f>
        <v>1907322</v>
      </c>
      <c r="V156" s="99"/>
      <c r="W156" s="99"/>
      <c r="X156" s="99"/>
      <c r="AH156" s="99" t="s">
        <v>3642</v>
      </c>
      <c r="AI156" s="99" t="s">
        <v>180</v>
      </c>
      <c r="AJ156" s="99" t="s">
        <v>267</v>
      </c>
      <c r="AK156" s="99" t="s">
        <v>4059</v>
      </c>
      <c r="AL156" s="99" t="s">
        <v>4051</v>
      </c>
      <c r="AM156" s="99" t="s">
        <v>282</v>
      </c>
      <c r="AN156" s="99" t="s">
        <v>4294</v>
      </c>
    </row>
    <row r="157" spans="17:44">
      <c r="Q157" s="99"/>
      <c r="R157" s="95">
        <f>SUM(R149:R154)</f>
        <v>14000000</v>
      </c>
      <c r="T157" s="99"/>
      <c r="U157" s="99" t="s">
        <v>6</v>
      </c>
      <c r="V157" s="99"/>
      <c r="W157" s="99"/>
      <c r="X157" s="99"/>
      <c r="AH157" s="99">
        <v>1</v>
      </c>
      <c r="AI157" s="99" t="s">
        <v>3950</v>
      </c>
      <c r="AJ157" s="117">
        <v>3555820</v>
      </c>
      <c r="AK157" s="99">
        <v>2</v>
      </c>
      <c r="AL157" s="99">
        <f>AK157+AL158</f>
        <v>187</v>
      </c>
      <c r="AM157" s="99">
        <f>AJ157*AL157</f>
        <v>664938340</v>
      </c>
      <c r="AN157" s="99" t="s">
        <v>4317</v>
      </c>
    </row>
    <row r="158" spans="17:44">
      <c r="Q158" s="99"/>
      <c r="R158" s="99" t="s">
        <v>6</v>
      </c>
      <c r="T158" s="204" t="s">
        <v>4495</v>
      </c>
      <c r="AH158" s="99">
        <v>2</v>
      </c>
      <c r="AI158" s="99" t="s">
        <v>4025</v>
      </c>
      <c r="AJ158" s="117">
        <v>1720837</v>
      </c>
      <c r="AK158" s="99">
        <v>51</v>
      </c>
      <c r="AL158" s="99">
        <f t="shared" ref="AL158:AL167" si="30">AK158+AL159</f>
        <v>185</v>
      </c>
      <c r="AM158" s="99">
        <f t="shared" ref="AM158:AM187" si="31">AJ158*AL158</f>
        <v>318354845</v>
      </c>
      <c r="AN158" s="99" t="s">
        <v>4318</v>
      </c>
    </row>
    <row r="159" spans="17:44">
      <c r="S159" t="s">
        <v>25</v>
      </c>
      <c r="T159" s="203">
        <f>R141/U156</f>
        <v>239.38875779758217</v>
      </c>
      <c r="AH159" s="99">
        <v>3</v>
      </c>
      <c r="AI159" s="99" t="s">
        <v>4131</v>
      </c>
      <c r="AJ159" s="117">
        <v>150000</v>
      </c>
      <c r="AK159" s="99">
        <v>3</v>
      </c>
      <c r="AL159" s="99">
        <f t="shared" si="30"/>
        <v>134</v>
      </c>
      <c r="AM159" s="99">
        <f t="shared" si="31"/>
        <v>20100000</v>
      </c>
      <c r="AN159" s="99"/>
    </row>
    <row r="160" spans="17:44">
      <c r="Q160" s="96"/>
      <c r="R160" s="96"/>
      <c r="W160" s="114"/>
      <c r="AH160" s="99">
        <v>4</v>
      </c>
      <c r="AI160" s="99" t="s">
        <v>4146</v>
      </c>
      <c r="AJ160" s="117">
        <v>-95000</v>
      </c>
      <c r="AK160" s="99">
        <v>8</v>
      </c>
      <c r="AL160" s="99">
        <f t="shared" si="30"/>
        <v>131</v>
      </c>
      <c r="AM160" s="99">
        <f t="shared" si="31"/>
        <v>-12445000</v>
      </c>
      <c r="AN160" s="99"/>
    </row>
    <row r="161" spans="17:40">
      <c r="Q161" s="96"/>
      <c r="R161" s="96"/>
      <c r="U161" s="96" t="s">
        <v>267</v>
      </c>
      <c r="V161" t="s">
        <v>4496</v>
      </c>
      <c r="AH161" s="99">
        <v>5</v>
      </c>
      <c r="AI161" s="99" t="s">
        <v>4173</v>
      </c>
      <c r="AJ161" s="117">
        <v>3150000</v>
      </c>
      <c r="AK161" s="99">
        <v>16</v>
      </c>
      <c r="AL161" s="99">
        <f t="shared" si="30"/>
        <v>123</v>
      </c>
      <c r="AM161" s="99">
        <f t="shared" si="31"/>
        <v>387450000</v>
      </c>
      <c r="AN161" s="99"/>
    </row>
    <row r="162" spans="17:40">
      <c r="U162" s="113">
        <v>6550580</v>
      </c>
      <c r="V162">
        <f>U162/T159</f>
        <v>27363.774557612749</v>
      </c>
      <c r="X162" t="s">
        <v>25</v>
      </c>
      <c r="AH162" s="99">
        <v>6</v>
      </c>
      <c r="AI162" s="99" t="s">
        <v>4242</v>
      </c>
      <c r="AJ162" s="117">
        <v>-65000</v>
      </c>
      <c r="AK162" s="99">
        <v>1</v>
      </c>
      <c r="AL162" s="99">
        <f t="shared" si="30"/>
        <v>107</v>
      </c>
      <c r="AM162" s="99">
        <f t="shared" si="31"/>
        <v>-6955000</v>
      </c>
      <c r="AN162" s="99"/>
    </row>
    <row r="163" spans="17:40">
      <c r="Q163" s="99" t="s">
        <v>751</v>
      </c>
      <c r="R163" s="99"/>
      <c r="X163" t="s">
        <v>25</v>
      </c>
      <c r="AH163" s="99">
        <v>7</v>
      </c>
      <c r="AI163" s="99" t="s">
        <v>4319</v>
      </c>
      <c r="AJ163" s="117">
        <v>-95000</v>
      </c>
      <c r="AK163" s="99">
        <v>6</v>
      </c>
      <c r="AL163" s="99">
        <f t="shared" si="30"/>
        <v>106</v>
      </c>
      <c r="AM163" s="99">
        <f t="shared" si="31"/>
        <v>-10070000</v>
      </c>
      <c r="AN163" s="99"/>
    </row>
    <row r="164" spans="17:40">
      <c r="Q164" s="99" t="s">
        <v>4451</v>
      </c>
      <c r="R164" s="95">
        <v>172908000</v>
      </c>
      <c r="X164" t="s">
        <v>25</v>
      </c>
      <c r="AH164" s="99">
        <v>8</v>
      </c>
      <c r="AI164" s="99" t="s">
        <v>4320</v>
      </c>
      <c r="AJ164" s="117">
        <v>232000</v>
      </c>
      <c r="AK164" s="99">
        <v>7</v>
      </c>
      <c r="AL164" s="99">
        <f t="shared" si="30"/>
        <v>100</v>
      </c>
      <c r="AM164" s="99">
        <f t="shared" si="31"/>
        <v>23200000</v>
      </c>
      <c r="AN164" s="99"/>
    </row>
    <row r="165" spans="17:40">
      <c r="Q165" s="99" t="s">
        <v>4492</v>
      </c>
      <c r="R165" s="95">
        <v>1400000</v>
      </c>
      <c r="AH165" s="99">
        <v>9</v>
      </c>
      <c r="AI165" s="99" t="s">
        <v>4293</v>
      </c>
      <c r="AJ165" s="117">
        <v>13000000</v>
      </c>
      <c r="AK165" s="99">
        <v>2</v>
      </c>
      <c r="AL165" s="99">
        <f t="shared" si="30"/>
        <v>93</v>
      </c>
      <c r="AM165" s="99">
        <f t="shared" si="31"/>
        <v>1209000000</v>
      </c>
      <c r="AN165" s="99"/>
    </row>
    <row r="166" spans="17:40">
      <c r="Q166" s="99" t="s">
        <v>4233</v>
      </c>
      <c r="R166" s="95">
        <v>247393</v>
      </c>
      <c r="AH166" s="99">
        <v>10</v>
      </c>
      <c r="AI166" s="99" t="s">
        <v>4321</v>
      </c>
      <c r="AJ166" s="117">
        <v>10000000</v>
      </c>
      <c r="AK166" s="99">
        <v>3</v>
      </c>
      <c r="AL166" s="99">
        <f t="shared" si="30"/>
        <v>91</v>
      </c>
      <c r="AM166" s="99">
        <f t="shared" si="31"/>
        <v>910000000</v>
      </c>
      <c r="AN166" s="99"/>
    </row>
    <row r="167" spans="17:40" ht="60">
      <c r="Q167" s="99" t="s">
        <v>4232</v>
      </c>
      <c r="R167" s="95">
        <v>6780000</v>
      </c>
      <c r="T167" s="22" t="s">
        <v>4479</v>
      </c>
      <c r="AH167" s="99">
        <v>11</v>
      </c>
      <c r="AI167" s="99" t="s">
        <v>4306</v>
      </c>
      <c r="AJ167" s="117">
        <v>3400000</v>
      </c>
      <c r="AK167" s="99">
        <v>9</v>
      </c>
      <c r="AL167" s="99">
        <f t="shared" si="30"/>
        <v>88</v>
      </c>
      <c r="AM167" s="99">
        <f t="shared" si="31"/>
        <v>299200000</v>
      </c>
      <c r="AN167" s="99"/>
    </row>
    <row r="168" spans="17:40" ht="45">
      <c r="Q168" s="99" t="s">
        <v>4620</v>
      </c>
      <c r="R168" s="95">
        <v>-4000000</v>
      </c>
      <c r="T168" s="22" t="s">
        <v>4480</v>
      </c>
      <c r="AH168" s="99">
        <v>12</v>
      </c>
      <c r="AI168" s="99" t="s">
        <v>4353</v>
      </c>
      <c r="AJ168" s="117">
        <v>-8736514</v>
      </c>
      <c r="AK168" s="99">
        <v>1</v>
      </c>
      <c r="AL168" s="99">
        <f>AK168+AL169</f>
        <v>79</v>
      </c>
      <c r="AM168" s="99">
        <f t="shared" si="31"/>
        <v>-690184606</v>
      </c>
      <c r="AN168" s="99"/>
    </row>
    <row r="169" spans="17:40">
      <c r="Q169" s="99" t="s">
        <v>4660</v>
      </c>
      <c r="R169" s="95">
        <v>16727037</v>
      </c>
      <c r="AH169" s="99">
        <v>13</v>
      </c>
      <c r="AI169" s="99" t="s">
        <v>4354</v>
      </c>
      <c r="AJ169" s="117">
        <v>555000</v>
      </c>
      <c r="AK169" s="99">
        <v>5</v>
      </c>
      <c r="AL169" s="99">
        <f t="shared" ref="AL169:AL187" si="32">AK169+AL170</f>
        <v>78</v>
      </c>
      <c r="AM169" s="99">
        <f t="shared" si="31"/>
        <v>43290000</v>
      </c>
      <c r="AN169" s="99"/>
    </row>
    <row r="170" spans="17:40">
      <c r="Q170" s="99" t="s">
        <v>4673</v>
      </c>
      <c r="R170" s="95">
        <v>46460683</v>
      </c>
      <c r="AH170" s="99">
        <v>14</v>
      </c>
      <c r="AI170" s="99" t="s">
        <v>4378</v>
      </c>
      <c r="AJ170" s="117">
        <v>-448308</v>
      </c>
      <c r="AK170" s="99">
        <v>6</v>
      </c>
      <c r="AL170" s="99">
        <f t="shared" si="32"/>
        <v>73</v>
      </c>
      <c r="AM170" s="99">
        <f t="shared" si="31"/>
        <v>-32726484</v>
      </c>
      <c r="AN170" s="99"/>
    </row>
    <row r="171" spans="17:40">
      <c r="Q171" s="99" t="s">
        <v>4676</v>
      </c>
      <c r="R171" s="95">
        <v>19663646</v>
      </c>
      <c r="T171" s="99" t="s">
        <v>4497</v>
      </c>
      <c r="U171" s="99" t="s">
        <v>4468</v>
      </c>
      <c r="V171" s="99" t="s">
        <v>953</v>
      </c>
      <c r="AH171" s="99">
        <v>15</v>
      </c>
      <c r="AI171" s="99" t="s">
        <v>4410</v>
      </c>
      <c r="AJ171" s="117">
        <v>33225</v>
      </c>
      <c r="AK171" s="99">
        <v>0</v>
      </c>
      <c r="AL171" s="99">
        <f t="shared" si="32"/>
        <v>67</v>
      </c>
      <c r="AM171" s="99">
        <f t="shared" si="31"/>
        <v>2226075</v>
      </c>
      <c r="AN171" s="99"/>
    </row>
    <row r="172" spans="17:40">
      <c r="Q172" s="99" t="s">
        <v>4710</v>
      </c>
      <c r="R172" s="95">
        <v>4374525</v>
      </c>
      <c r="S172" t="s">
        <v>25</v>
      </c>
      <c r="T172" s="95">
        <f>R157+R176+R191</f>
        <v>461693211</v>
      </c>
      <c r="U172" s="95">
        <f>R141</f>
        <v>456591444.30000001</v>
      </c>
      <c r="V172" s="95">
        <f>U172-T172</f>
        <v>-5101766.6999999881</v>
      </c>
      <c r="AH172" s="149">
        <v>16</v>
      </c>
      <c r="AI172" s="149" t="s">
        <v>4410</v>
      </c>
      <c r="AJ172" s="191">
        <v>4098523</v>
      </c>
      <c r="AK172" s="149">
        <v>2</v>
      </c>
      <c r="AL172" s="149">
        <f t="shared" si="32"/>
        <v>67</v>
      </c>
      <c r="AM172" s="149">
        <f t="shared" si="31"/>
        <v>274601041</v>
      </c>
      <c r="AN172" s="149" t="s">
        <v>657</v>
      </c>
    </row>
    <row r="173" spans="17:40">
      <c r="Q173" s="99" t="s">
        <v>4728</v>
      </c>
      <c r="R173" s="95">
        <v>6550580</v>
      </c>
      <c r="AH173" s="149">
        <v>17</v>
      </c>
      <c r="AI173" s="149" t="s">
        <v>4424</v>
      </c>
      <c r="AJ173" s="191">
        <v>-1000000</v>
      </c>
      <c r="AK173" s="149">
        <v>7</v>
      </c>
      <c r="AL173" s="149">
        <f t="shared" si="32"/>
        <v>65</v>
      </c>
      <c r="AM173" s="149">
        <f t="shared" si="31"/>
        <v>-65000000</v>
      </c>
      <c r="AN173" s="149" t="s">
        <v>657</v>
      </c>
    </row>
    <row r="174" spans="17:40">
      <c r="Q174" s="99"/>
      <c r="R174" s="95"/>
      <c r="AH174" s="149">
        <v>18</v>
      </c>
      <c r="AI174" s="149" t="s">
        <v>4447</v>
      </c>
      <c r="AJ174" s="191">
        <v>750000</v>
      </c>
      <c r="AK174" s="149">
        <v>1</v>
      </c>
      <c r="AL174" s="149">
        <f t="shared" si="32"/>
        <v>58</v>
      </c>
      <c r="AM174" s="149">
        <f t="shared" si="31"/>
        <v>43500000</v>
      </c>
      <c r="AN174" s="149" t="s">
        <v>657</v>
      </c>
    </row>
    <row r="175" spans="17:40">
      <c r="Q175" s="99"/>
      <c r="R175" s="95"/>
      <c r="AH175" s="199">
        <v>19</v>
      </c>
      <c r="AI175" s="199" t="s">
        <v>4449</v>
      </c>
      <c r="AJ175" s="200">
        <v>-604152</v>
      </c>
      <c r="AK175" s="199">
        <v>0</v>
      </c>
      <c r="AL175" s="199">
        <f t="shared" si="32"/>
        <v>57</v>
      </c>
      <c r="AM175" s="199">
        <f t="shared" si="31"/>
        <v>-34436664</v>
      </c>
      <c r="AN175" s="199" t="s">
        <v>657</v>
      </c>
    </row>
    <row r="176" spans="17:40">
      <c r="Q176" s="99"/>
      <c r="R176" s="95">
        <f>SUM(R164:R173)</f>
        <v>271111864</v>
      </c>
      <c r="S176" t="s">
        <v>25</v>
      </c>
      <c r="AH176" s="99">
        <v>20</v>
      </c>
      <c r="AI176" s="99" t="s">
        <v>4450</v>
      </c>
      <c r="AJ176" s="117">
        <v>-587083</v>
      </c>
      <c r="AK176" s="99">
        <v>4</v>
      </c>
      <c r="AL176" s="99">
        <f t="shared" si="32"/>
        <v>57</v>
      </c>
      <c r="AM176" s="99">
        <f t="shared" si="31"/>
        <v>-33463731</v>
      </c>
      <c r="AN176" s="99"/>
    </row>
    <row r="177" spans="17:44">
      <c r="Q177" s="99"/>
      <c r="R177" s="99" t="s">
        <v>6</v>
      </c>
      <c r="AH177" s="199">
        <v>21</v>
      </c>
      <c r="AI177" s="199" t="s">
        <v>4451</v>
      </c>
      <c r="AJ177" s="200">
        <v>-754351</v>
      </c>
      <c r="AK177" s="199">
        <v>0</v>
      </c>
      <c r="AL177" s="149">
        <f t="shared" si="32"/>
        <v>53</v>
      </c>
      <c r="AM177" s="199">
        <f t="shared" si="31"/>
        <v>-39980603</v>
      </c>
      <c r="AN177" s="199" t="s">
        <v>657</v>
      </c>
    </row>
    <row r="178" spans="17:44">
      <c r="AH178" s="99">
        <v>22</v>
      </c>
      <c r="AI178" s="99" t="s">
        <v>4451</v>
      </c>
      <c r="AJ178" s="117">
        <v>-189619</v>
      </c>
      <c r="AK178" s="99">
        <v>15</v>
      </c>
      <c r="AL178" s="99">
        <f t="shared" si="32"/>
        <v>53</v>
      </c>
      <c r="AM178" s="99">
        <f t="shared" si="31"/>
        <v>-10049807</v>
      </c>
      <c r="AN178" s="99"/>
    </row>
    <row r="179" spans="17:44">
      <c r="AH179" s="199">
        <v>23</v>
      </c>
      <c r="AI179" s="199" t="s">
        <v>4528</v>
      </c>
      <c r="AJ179" s="191">
        <v>7100</v>
      </c>
      <c r="AK179" s="199">
        <v>0</v>
      </c>
      <c r="AL179" s="149">
        <f t="shared" si="32"/>
        <v>38</v>
      </c>
      <c r="AM179" s="199">
        <f t="shared" si="31"/>
        <v>269800</v>
      </c>
      <c r="AN179" s="199" t="s">
        <v>657</v>
      </c>
    </row>
    <row r="180" spans="17:44">
      <c r="Q180" s="99" t="s">
        <v>452</v>
      </c>
      <c r="R180" s="99"/>
      <c r="T180" t="s">
        <v>25</v>
      </c>
      <c r="AH180" s="20">
        <v>24</v>
      </c>
      <c r="AI180" s="20" t="s">
        <v>4528</v>
      </c>
      <c r="AJ180" s="117">
        <v>-147902</v>
      </c>
      <c r="AK180" s="20">
        <v>3</v>
      </c>
      <c r="AL180" s="99">
        <f t="shared" si="32"/>
        <v>38</v>
      </c>
      <c r="AM180" s="20">
        <f t="shared" si="31"/>
        <v>-5620276</v>
      </c>
      <c r="AN180" s="20"/>
      <c r="AR180" t="s">
        <v>25</v>
      </c>
    </row>
    <row r="181" spans="17:44">
      <c r="Q181" s="99" t="s">
        <v>4451</v>
      </c>
      <c r="R181" s="95">
        <v>63115000</v>
      </c>
      <c r="AH181" s="149">
        <v>25</v>
      </c>
      <c r="AI181" s="149" t="s">
        <v>4536</v>
      </c>
      <c r="AJ181" s="191">
        <v>-37200</v>
      </c>
      <c r="AK181" s="149">
        <v>4</v>
      </c>
      <c r="AL181" s="149">
        <f t="shared" si="32"/>
        <v>35</v>
      </c>
      <c r="AM181" s="199">
        <f t="shared" si="31"/>
        <v>-1302000</v>
      </c>
      <c r="AN181" s="149" t="s">
        <v>657</v>
      </c>
    </row>
    <row r="182" spans="17:44">
      <c r="Q182" s="99" t="s">
        <v>4506</v>
      </c>
      <c r="R182" s="95">
        <v>13300000</v>
      </c>
      <c r="AH182" s="99">
        <v>26</v>
      </c>
      <c r="AI182" s="99" t="s">
        <v>4569</v>
      </c>
      <c r="AJ182" s="117">
        <v>-372326</v>
      </c>
      <c r="AK182" s="99">
        <v>21</v>
      </c>
      <c r="AL182" s="99">
        <f t="shared" si="32"/>
        <v>31</v>
      </c>
      <c r="AM182" s="20">
        <f t="shared" si="31"/>
        <v>-11542106</v>
      </c>
      <c r="AN182" s="99"/>
    </row>
    <row r="183" spans="17:44">
      <c r="Q183" s="99" t="s">
        <v>4516</v>
      </c>
      <c r="R183" s="95">
        <v>2269000</v>
      </c>
      <c r="AH183" s="99">
        <v>27</v>
      </c>
      <c r="AI183" s="99" t="s">
        <v>4636</v>
      </c>
      <c r="AJ183" s="117">
        <v>235062</v>
      </c>
      <c r="AK183" s="99">
        <v>0</v>
      </c>
      <c r="AL183" s="99">
        <f t="shared" si="32"/>
        <v>10</v>
      </c>
      <c r="AM183" s="20">
        <f t="shared" si="31"/>
        <v>2350620</v>
      </c>
      <c r="AN183" s="99"/>
    </row>
    <row r="184" spans="17:44">
      <c r="Q184" s="99" t="s">
        <v>4652</v>
      </c>
      <c r="R184" s="95">
        <v>25071612</v>
      </c>
      <c r="T184" t="s">
        <v>25</v>
      </c>
      <c r="AH184" s="149">
        <v>28</v>
      </c>
      <c r="AI184" s="149" t="s">
        <v>4636</v>
      </c>
      <c r="AJ184" s="191">
        <v>235062</v>
      </c>
      <c r="AK184" s="149">
        <v>9</v>
      </c>
      <c r="AL184" s="99">
        <f t="shared" si="32"/>
        <v>10</v>
      </c>
      <c r="AM184" s="149">
        <f t="shared" si="31"/>
        <v>2350620</v>
      </c>
      <c r="AN184" s="149" t="s">
        <v>657</v>
      </c>
    </row>
    <row r="185" spans="17:44">
      <c r="Q185" s="99" t="s">
        <v>4673</v>
      </c>
      <c r="R185" s="95">
        <v>42236984</v>
      </c>
      <c r="AH185" s="149">
        <v>29</v>
      </c>
      <c r="AI185" s="149" t="s">
        <v>4676</v>
      </c>
      <c r="AJ185" s="191">
        <v>450000</v>
      </c>
      <c r="AK185" s="149">
        <v>0</v>
      </c>
      <c r="AL185" s="99">
        <f t="shared" si="32"/>
        <v>1</v>
      </c>
      <c r="AM185" s="149">
        <f t="shared" si="31"/>
        <v>450000</v>
      </c>
      <c r="AN185" s="149" t="s">
        <v>657</v>
      </c>
    </row>
    <row r="186" spans="17:44">
      <c r="Q186" s="99" t="s">
        <v>4676</v>
      </c>
      <c r="R186" s="95">
        <v>19663646</v>
      </c>
      <c r="AH186" s="20">
        <v>30</v>
      </c>
      <c r="AI186" s="20" t="s">
        <v>4676</v>
      </c>
      <c r="AJ186" s="117">
        <v>450000</v>
      </c>
      <c r="AK186" s="20">
        <v>1</v>
      </c>
      <c r="AL186" s="99">
        <f t="shared" si="32"/>
        <v>1</v>
      </c>
      <c r="AM186" s="20">
        <f t="shared" si="31"/>
        <v>450000</v>
      </c>
      <c r="AN186" s="20"/>
    </row>
    <row r="187" spans="17:44">
      <c r="Q187" s="99" t="s">
        <v>4710</v>
      </c>
      <c r="R187" s="95">
        <v>4374525</v>
      </c>
      <c r="AH187" s="99"/>
      <c r="AI187" s="99"/>
      <c r="AJ187" s="117"/>
      <c r="AK187" s="99"/>
      <c r="AL187" s="99">
        <f t="shared" si="32"/>
        <v>0</v>
      </c>
      <c r="AM187" s="20">
        <f t="shared" si="31"/>
        <v>0</v>
      </c>
      <c r="AN187" s="99"/>
    </row>
    <row r="188" spans="17:44">
      <c r="Q188" s="99" t="s">
        <v>4728</v>
      </c>
      <c r="R188" s="95">
        <v>6550580</v>
      </c>
      <c r="T188" t="s">
        <v>25</v>
      </c>
      <c r="AH188" s="99"/>
      <c r="AI188" s="99"/>
      <c r="AJ188" s="117"/>
      <c r="AK188" s="99"/>
      <c r="AL188" s="99"/>
      <c r="AM188" s="99"/>
      <c r="AN188" s="99"/>
    </row>
    <row r="189" spans="17:44">
      <c r="Q189" s="99"/>
      <c r="R189" s="95"/>
      <c r="AH189" s="99"/>
      <c r="AI189" s="99"/>
      <c r="AJ189" s="95">
        <f>SUM(AJ157:AJ188)</f>
        <v>28890174</v>
      </c>
      <c r="AK189" s="99"/>
      <c r="AL189" s="99"/>
      <c r="AM189" s="99">
        <f>SUM(AM157:AM188)</f>
        <v>3247955064</v>
      </c>
      <c r="AN189" s="95">
        <f>AM189*AN143/31</f>
        <v>2095454.8800000001</v>
      </c>
    </row>
    <row r="190" spans="17:44">
      <c r="Q190" s="99"/>
      <c r="R190" s="95"/>
      <c r="AJ190" t="s">
        <v>4060</v>
      </c>
      <c r="AM190" t="s">
        <v>284</v>
      </c>
      <c r="AN190" t="s">
        <v>943</v>
      </c>
    </row>
    <row r="191" spans="17:44">
      <c r="Q191" s="99"/>
      <c r="R191" s="95">
        <f>SUM(R181:R188)</f>
        <v>176581347</v>
      </c>
    </row>
    <row r="192" spans="17:44">
      <c r="Q192" s="99"/>
      <c r="R192" s="99" t="s">
        <v>6</v>
      </c>
      <c r="T192" t="s">
        <v>25</v>
      </c>
      <c r="AI192" t="s">
        <v>4062</v>
      </c>
      <c r="AJ192" s="114">
        <f>AJ189+AN189</f>
        <v>30985628.879999999</v>
      </c>
    </row>
    <row r="193" spans="35:40">
      <c r="AI193" t="s">
        <v>4065</v>
      </c>
      <c r="AJ193" s="114">
        <f>SUM(N20:N29)</f>
        <v>28642864.799999997</v>
      </c>
    </row>
    <row r="194" spans="35:40">
      <c r="AI194" t="s">
        <v>4137</v>
      </c>
      <c r="AJ194" s="114">
        <f>AJ193-AJ189</f>
        <v>-247309.20000000298</v>
      </c>
    </row>
    <row r="195" spans="35:40">
      <c r="AI195" t="s">
        <v>943</v>
      </c>
      <c r="AJ195" s="114">
        <f>AN189</f>
        <v>2095454.8800000001</v>
      </c>
    </row>
    <row r="196" spans="35:40">
      <c r="AI196" t="s">
        <v>4066</v>
      </c>
      <c r="AJ196" s="114">
        <f>AJ194-AJ195</f>
        <v>-2342764.0800000029</v>
      </c>
      <c r="AN196" t="s">
        <v>25</v>
      </c>
    </row>
    <row r="197" spans="35:40">
      <c r="AN197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19 S78 S85 S91:S93 S96 S9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A16" workbookViewId="0">
      <selection activeCell="L6" sqref="L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4684</v>
      </c>
      <c r="AE1" s="169" t="s">
        <v>4685</v>
      </c>
    </row>
    <row r="2" spans="1:31">
      <c r="A2" s="99" t="s">
        <v>4244</v>
      </c>
      <c r="B2" s="207">
        <v>1707</v>
      </c>
      <c r="C2" s="209" t="s">
        <v>4639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4610</v>
      </c>
      <c r="B3" s="207">
        <v>1184</v>
      </c>
      <c r="C3" s="209" t="s">
        <v>4617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18" si="2">AB3/Y3</f>
        <v>0.57449014863463521</v>
      </c>
    </row>
    <row r="4" spans="1:31">
      <c r="A4" s="99" t="s">
        <v>4611</v>
      </c>
      <c r="B4" s="207">
        <v>1804</v>
      </c>
      <c r="C4" s="209" t="s">
        <v>4618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4646</v>
      </c>
      <c r="L5" s="113">
        <v>0</v>
      </c>
      <c r="M5" s="169">
        <v>3</v>
      </c>
      <c r="N5" s="113">
        <f t="shared" ref="N5" si="3">L5*M5</f>
        <v>0</v>
      </c>
      <c r="O5" s="99" t="s">
        <v>4651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4652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4660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4583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4660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4660</v>
      </c>
      <c r="X7" s="169" t="s">
        <v>1086</v>
      </c>
      <c r="Y7" s="113">
        <v>4183832</v>
      </c>
      <c r="Z7" s="169">
        <f t="shared" ref="Z7:Z18" si="4">AB7*AC7/Y7</f>
        <v>0.23816682887840621</v>
      </c>
      <c r="AA7" s="169" t="s">
        <v>4663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4673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4660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4664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4604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4673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4660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4650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4676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4660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4665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4676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4660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141015</v>
      </c>
      <c r="C12" s="170"/>
      <c r="D12" s="59" t="s">
        <v>4719</v>
      </c>
      <c r="F12" s="114">
        <v>0</v>
      </c>
      <c r="G12" t="s">
        <v>25</v>
      </c>
      <c r="J12" s="169">
        <v>11</v>
      </c>
      <c r="K12" s="169" t="s">
        <v>4710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4673</v>
      </c>
      <c r="X12" s="169" t="s">
        <v>1086</v>
      </c>
      <c r="Y12" s="113">
        <v>4186993</v>
      </c>
      <c r="Z12" s="169">
        <f t="shared" si="4"/>
        <v>0.95852522323299805</v>
      </c>
      <c r="AA12" s="202" t="s">
        <v>4397</v>
      </c>
      <c r="AB12" s="113">
        <v>3322.3</v>
      </c>
      <c r="AC12" s="169">
        <v>1208</v>
      </c>
      <c r="AD12" s="202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4710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4673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>
        <v>13</v>
      </c>
      <c r="K14" s="169" t="s">
        <v>4728</v>
      </c>
      <c r="L14" s="164">
        <v>4367053</v>
      </c>
      <c r="M14" s="169">
        <v>1.5</v>
      </c>
      <c r="N14" s="113">
        <v>6550580</v>
      </c>
      <c r="O14" s="99" t="s">
        <v>751</v>
      </c>
      <c r="W14" s="169" t="s">
        <v>4676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141015</v>
      </c>
      <c r="J15" s="169">
        <v>14</v>
      </c>
      <c r="K15" s="169" t="s">
        <v>4728</v>
      </c>
      <c r="L15" s="164">
        <v>4367053</v>
      </c>
      <c r="M15" s="169">
        <v>1.5</v>
      </c>
      <c r="N15" s="113">
        <v>6550580</v>
      </c>
      <c r="O15" s="99" t="s">
        <v>452</v>
      </c>
      <c r="W15" s="169" t="s">
        <v>4676</v>
      </c>
      <c r="X15" s="169" t="s">
        <v>1086</v>
      </c>
      <c r="Y15" s="113">
        <v>4223698</v>
      </c>
      <c r="Z15" s="169">
        <f t="shared" si="4"/>
        <v>9.4380816762940896</v>
      </c>
      <c r="AA15" s="215" t="s">
        <v>4416</v>
      </c>
      <c r="AB15" s="113">
        <v>498.9</v>
      </c>
      <c r="AC15" s="169">
        <v>79903</v>
      </c>
      <c r="AD15" s="215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169"/>
      <c r="K16" s="169"/>
      <c r="L16" s="113"/>
      <c r="M16" s="169"/>
      <c r="N16" s="113"/>
      <c r="O16" s="99"/>
      <c r="W16" s="169" t="s">
        <v>4693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4641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169"/>
      <c r="K17" s="169"/>
      <c r="L17" s="113" t="s">
        <v>25</v>
      </c>
      <c r="M17" s="169"/>
      <c r="N17" s="113"/>
      <c r="O17" s="99"/>
      <c r="W17" s="169" t="s">
        <v>4693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69"/>
      <c r="M18" s="169">
        <f>SUM(M2:M17)</f>
        <v>64</v>
      </c>
      <c r="N18" s="113">
        <f>SUM(N2:N5)</f>
        <v>64860000</v>
      </c>
      <c r="O18" s="99"/>
      <c r="W18" s="169" t="s">
        <v>4716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69"/>
      <c r="M19" s="169" t="s">
        <v>6</v>
      </c>
      <c r="N19" s="169"/>
      <c r="O19" s="99"/>
      <c r="R19" t="s">
        <v>25</v>
      </c>
      <c r="W19" s="169"/>
      <c r="X19" s="169"/>
      <c r="Y19" s="113"/>
      <c r="Z19" s="169"/>
      <c r="AA19" s="19"/>
      <c r="AB19" s="117"/>
      <c r="AC19" s="19"/>
      <c r="AD19" s="19"/>
      <c r="AE19" s="169"/>
    </row>
    <row r="20" spans="1:31">
      <c r="A20" s="99" t="s">
        <v>4511</v>
      </c>
      <c r="B20" s="208"/>
      <c r="C20" s="170">
        <v>3894000</v>
      </c>
      <c r="D20" s="99" t="s">
        <v>4506</v>
      </c>
      <c r="M20" s="113">
        <f>N18/M18</f>
        <v>1013437.5</v>
      </c>
      <c r="W20" s="99"/>
      <c r="X20" s="99"/>
      <c r="Y20" s="99"/>
      <c r="Z20" s="169"/>
      <c r="AA20" s="19"/>
      <c r="AB20" s="117"/>
      <c r="AC20" s="19"/>
      <c r="AD20" s="19"/>
      <c r="AE20" s="169"/>
    </row>
    <row r="21" spans="1:31">
      <c r="A21" s="99"/>
      <c r="B21" s="207"/>
      <c r="C21" s="170">
        <v>3845000</v>
      </c>
      <c r="D21" s="99" t="s">
        <v>4506</v>
      </c>
      <c r="M21" s="41" t="s">
        <v>4537</v>
      </c>
      <c r="N21" t="s">
        <v>25</v>
      </c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L24">
        <f>140-M18</f>
        <v>76</v>
      </c>
      <c r="M24">
        <f>75-M2-M4-M5-M7-M9-M10-M12-M14</f>
        <v>38</v>
      </c>
      <c r="N24" t="s">
        <v>483</v>
      </c>
      <c r="O24" t="s">
        <v>4733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M25">
        <f>65-M3-M6-M8-M11-M13-M15</f>
        <v>38</v>
      </c>
      <c r="N25" t="s">
        <v>5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</row>
    <row r="27" spans="1:31">
      <c r="A27" s="99"/>
      <c r="B27" s="207"/>
      <c r="C27" s="170"/>
      <c r="D27" s="99" t="s">
        <v>4525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4578</v>
      </c>
      <c r="B29" s="207"/>
      <c r="C29" s="170">
        <v>3490000</v>
      </c>
      <c r="D29" s="99" t="s">
        <v>4232</v>
      </c>
      <c r="K29" s="169" t="s">
        <v>4548</v>
      </c>
      <c r="L29" s="169" t="s">
        <v>1086</v>
      </c>
      <c r="M29" s="169" t="s">
        <v>4244</v>
      </c>
      <c r="N29" s="169" t="s">
        <v>4565</v>
      </c>
      <c r="O29" s="169"/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4579</v>
      </c>
      <c r="B30" s="207"/>
      <c r="C30" s="170">
        <v>271000</v>
      </c>
      <c r="D30" s="99" t="s">
        <v>4575</v>
      </c>
      <c r="K30" s="169" t="s">
        <v>4536</v>
      </c>
      <c r="L30" s="169">
        <v>3390000</v>
      </c>
      <c r="M30" s="169">
        <v>161.4</v>
      </c>
      <c r="N30" s="169">
        <f>L30/M30</f>
        <v>21003.717472118959</v>
      </c>
      <c r="O30" s="169"/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4588</v>
      </c>
      <c r="B31" s="207"/>
      <c r="C31" s="170">
        <v>69700</v>
      </c>
      <c r="D31" s="99" t="s">
        <v>4580</v>
      </c>
      <c r="K31" s="169"/>
      <c r="L31" s="169"/>
      <c r="M31" s="169"/>
      <c r="N31" s="169"/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/>
      <c r="L32" s="169"/>
      <c r="M32" s="169"/>
      <c r="N32" s="169"/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W38" s="96"/>
      <c r="X38" s="96"/>
      <c r="Y38" s="96"/>
      <c r="Z38" s="96"/>
      <c r="AA38" s="96"/>
      <c r="AB38" s="96"/>
      <c r="AC38" s="96"/>
      <c r="AD38" s="96"/>
    </row>
    <row r="39" spans="1:30">
      <c r="W39" s="96"/>
      <c r="X39" s="96"/>
      <c r="Y39" s="96"/>
      <c r="Z39" s="96" t="s">
        <v>4703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4704</v>
      </c>
      <c r="AA40" s="214">
        <v>35441</v>
      </c>
      <c r="AB40" s="96"/>
      <c r="AC40" s="96"/>
      <c r="AD40" s="96"/>
    </row>
    <row r="41" spans="1:30" ht="120">
      <c r="W41" s="96"/>
      <c r="X41" s="22" t="s">
        <v>4707</v>
      </c>
      <c r="Y41" s="22" t="s">
        <v>4706</v>
      </c>
      <c r="Z41" s="22" t="s">
        <v>4705</v>
      </c>
      <c r="AA41" s="22" t="s">
        <v>4709</v>
      </c>
    </row>
    <row r="44" spans="1:30">
      <c r="I44" s="41"/>
    </row>
    <row r="50" spans="10:13">
      <c r="J50" s="41"/>
      <c r="K50" s="41"/>
      <c r="L50" s="41"/>
      <c r="M50" s="41"/>
    </row>
    <row r="53" spans="10:13">
      <c r="L5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4625</v>
      </c>
      <c r="AA2" s="99" t="s">
        <v>4623</v>
      </c>
      <c r="AB2" s="99" t="s">
        <v>4624</v>
      </c>
      <c r="AC2" s="99" t="s">
        <v>4627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4629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4626</v>
      </c>
      <c r="Z4" s="99">
        <v>1</v>
      </c>
      <c r="AA4" s="99">
        <v>1</v>
      </c>
      <c r="AB4" s="99">
        <f t="shared" si="0"/>
        <v>1</v>
      </c>
      <c r="AC4" s="99" t="s">
        <v>4628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4610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2019-01-28T12:25:14Z</dcterms:modified>
</cp:coreProperties>
</file>