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4" activeTab="31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</sheets>
  <calcPr calcId="145621"/>
</workbook>
</file>

<file path=xl/calcChain.xml><?xml version="1.0" encoding="utf-8"?>
<calcChain xmlns="http://schemas.openxmlformats.org/spreadsheetml/2006/main">
  <c r="X32" i="32" l="1"/>
  <c r="U25" i="33"/>
  <c r="D24" i="33"/>
  <c r="AC15" i="33"/>
  <c r="D18" i="33"/>
  <c r="B20" i="33"/>
  <c r="B18" i="33"/>
  <c r="N25" i="33"/>
  <c r="K43" i="32" l="1"/>
  <c r="S43" i="32" s="1"/>
  <c r="M43" i="32"/>
  <c r="Q43" i="32" s="1"/>
  <c r="P43" i="32" l="1"/>
  <c r="I42" i="32" l="1"/>
  <c r="AA4" i="32"/>
  <c r="K41" i="32"/>
  <c r="M41" i="32"/>
  <c r="M29" i="32"/>
  <c r="Q29" i="32" s="1"/>
  <c r="K29" i="32"/>
  <c r="P29" i="32" l="1"/>
  <c r="S29" i="32" l="1"/>
  <c r="S60" i="32"/>
  <c r="S61" i="32"/>
  <c r="S62" i="32"/>
  <c r="S63" i="32"/>
  <c r="S64" i="32"/>
  <c r="S65" i="32"/>
  <c r="S66" i="32"/>
  <c r="S67" i="32"/>
  <c r="S68" i="32"/>
  <c r="AA5" i="32"/>
  <c r="AA6" i="32" s="1"/>
  <c r="AA7" i="32" s="1"/>
  <c r="AA8" i="32" s="1"/>
  <c r="AC28" i="33"/>
  <c r="AE24" i="33" l="1"/>
  <c r="N2" i="33"/>
  <c r="K2" i="33" l="1"/>
  <c r="C2" i="33"/>
  <c r="H2" i="33"/>
  <c r="J2" i="33"/>
  <c r="I2" i="33"/>
  <c r="L2" i="33"/>
  <c r="G2" i="33"/>
  <c r="E2" i="33"/>
  <c r="F2" i="33"/>
  <c r="D2" i="33"/>
  <c r="B2" i="33"/>
  <c r="U2" i="33" s="1"/>
  <c r="K25" i="33"/>
  <c r="C25" i="33"/>
  <c r="H25" i="33"/>
  <c r="E25" i="33"/>
  <c r="J25" i="33"/>
  <c r="I25" i="33"/>
  <c r="F25" i="33"/>
  <c r="D25" i="33"/>
  <c r="L25" i="33"/>
  <c r="G25" i="33"/>
  <c r="B25" i="33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N27" i="33"/>
  <c r="N12" i="33"/>
  <c r="N8" i="33"/>
  <c r="N6" i="33"/>
  <c r="N4" i="33"/>
  <c r="N3" i="33"/>
  <c r="N23" i="33"/>
  <c r="N22" i="33"/>
  <c r="N21" i="33"/>
  <c r="N20" i="33"/>
  <c r="N19" i="33"/>
  <c r="N18" i="33"/>
  <c r="N17" i="33"/>
  <c r="J20" i="33" l="1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C12" i="33"/>
  <c r="F12" i="33"/>
  <c r="H12" i="33"/>
  <c r="B12" i="33"/>
  <c r="U12" i="33" s="1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U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U7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U14" i="33"/>
  <c r="R14" i="33"/>
  <c r="K78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I30" i="34" l="1"/>
  <c r="P41" i="32"/>
  <c r="O41" i="32"/>
  <c r="Q41" i="32" s="1"/>
  <c r="I41" i="32"/>
  <c r="K40" i="32"/>
  <c r="L40" i="32" s="1"/>
  <c r="K7" i="32"/>
  <c r="K6" i="32"/>
  <c r="K9" i="32"/>
  <c r="S9" i="32" s="1"/>
  <c r="M39" i="32"/>
  <c r="Q39" i="32" s="1"/>
  <c r="M17" i="32"/>
  <c r="Q17" i="32" s="1"/>
  <c r="M55" i="32"/>
  <c r="P55" i="32" s="1"/>
  <c r="K55" i="32"/>
  <c r="S55" i="32" s="1"/>
  <c r="K54" i="32"/>
  <c r="S54" i="32" s="1"/>
  <c r="I54" i="32"/>
  <c r="L54" i="32" s="1"/>
  <c r="M53" i="32"/>
  <c r="Q53" i="32" s="1"/>
  <c r="K53" i="32"/>
  <c r="S53" i="32" s="1"/>
  <c r="K52" i="32"/>
  <c r="S52" i="32" s="1"/>
  <c r="I52" i="32"/>
  <c r="L52" i="32" s="1"/>
  <c r="M21" i="32"/>
  <c r="P21" i="32" s="1"/>
  <c r="K21" i="32"/>
  <c r="S21" i="32" s="1"/>
  <c r="K20" i="32"/>
  <c r="S20" i="32" s="1"/>
  <c r="I20" i="32"/>
  <c r="M19" i="32"/>
  <c r="Q19" i="32" s="1"/>
  <c r="K19" i="32"/>
  <c r="S19" i="32" s="1"/>
  <c r="K18" i="32"/>
  <c r="S18" i="32" s="1"/>
  <c r="I18" i="32"/>
  <c r="K39" i="32"/>
  <c r="S39" i="32" s="1"/>
  <c r="K38" i="32"/>
  <c r="S38" i="32" s="1"/>
  <c r="I38" i="32"/>
  <c r="K17" i="32"/>
  <c r="S17" i="32" s="1"/>
  <c r="K16" i="32"/>
  <c r="S16" i="32" s="1"/>
  <c r="I16" i="32"/>
  <c r="M37" i="32"/>
  <c r="Q37" i="32" s="1"/>
  <c r="K37" i="32"/>
  <c r="S37" i="32" s="1"/>
  <c r="K36" i="32"/>
  <c r="S36" i="32" s="1"/>
  <c r="I36" i="32"/>
  <c r="M11" i="32"/>
  <c r="Q11" i="32" s="1"/>
  <c r="K11" i="32"/>
  <c r="S11" i="32" s="1"/>
  <c r="K10" i="32"/>
  <c r="S10" i="32" s="1"/>
  <c r="M27" i="32"/>
  <c r="Q27" i="32" s="1"/>
  <c r="K27" i="32"/>
  <c r="S27" i="32" s="1"/>
  <c r="K26" i="32"/>
  <c r="S26" i="32" s="1"/>
  <c r="I26" i="32"/>
  <c r="M25" i="32"/>
  <c r="Q25" i="32" s="1"/>
  <c r="K25" i="32"/>
  <c r="S25" i="32" s="1"/>
  <c r="K24" i="32"/>
  <c r="S24" i="32" s="1"/>
  <c r="I24" i="32"/>
  <c r="K42" i="32"/>
  <c r="S42" i="32" s="1"/>
  <c r="L42" i="32" s="1"/>
  <c r="M23" i="32"/>
  <c r="Q23" i="32" s="1"/>
  <c r="K23" i="32"/>
  <c r="S23" i="32" s="1"/>
  <c r="K22" i="32"/>
  <c r="S22" i="32" s="1"/>
  <c r="I22" i="32"/>
  <c r="M7" i="32"/>
  <c r="B202" i="15"/>
  <c r="B127" i="13"/>
  <c r="L36" i="32" l="1"/>
  <c r="L26" i="32"/>
  <c r="L20" i="32"/>
  <c r="L18" i="32"/>
  <c r="L16" i="32"/>
  <c r="L24" i="32"/>
  <c r="L22" i="32"/>
  <c r="L38" i="32"/>
  <c r="P17" i="32"/>
  <c r="Q55" i="32"/>
  <c r="Q21" i="32"/>
  <c r="P19" i="32"/>
  <c r="P53" i="32"/>
  <c r="P39" i="32"/>
  <c r="P23" i="32"/>
  <c r="P37" i="32"/>
  <c r="P11" i="32"/>
  <c r="P27" i="32"/>
  <c r="P25" i="32"/>
  <c r="K28" i="32" l="1"/>
  <c r="AF9" i="32"/>
  <c r="AF10" i="32"/>
  <c r="AF11" i="32"/>
  <c r="AE5" i="32"/>
  <c r="AE8" i="32"/>
  <c r="AE9" i="32"/>
  <c r="AE10" i="32"/>
  <c r="AE11" i="32"/>
  <c r="S28" i="32" l="1"/>
  <c r="Y12" i="32"/>
  <c r="M5" i="32"/>
  <c r="Q5" i="32" s="1"/>
  <c r="K5" i="32"/>
  <c r="K4" i="32"/>
  <c r="I4" i="32"/>
  <c r="L4" i="32" s="1"/>
  <c r="I32" i="32"/>
  <c r="L32" i="32" s="1"/>
  <c r="M35" i="32"/>
  <c r="Q35" i="32" s="1"/>
  <c r="K35" i="32"/>
  <c r="K34" i="32"/>
  <c r="L34" i="32" s="1"/>
  <c r="M33" i="32"/>
  <c r="Q33" i="32" s="1"/>
  <c r="K33" i="32"/>
  <c r="K32" i="32"/>
  <c r="M31" i="32"/>
  <c r="P31" i="32" s="1"/>
  <c r="K31" i="32"/>
  <c r="I31" i="32"/>
  <c r="O31" i="32"/>
  <c r="K30" i="32"/>
  <c r="I30" i="32"/>
  <c r="L30" i="32" s="1"/>
  <c r="M13" i="32"/>
  <c r="Z5" i="32"/>
  <c r="Z6" i="32"/>
  <c r="AF6" i="32" s="1"/>
  <c r="Z7" i="32"/>
  <c r="Z8" i="32"/>
  <c r="AF8" i="32" s="1"/>
  <c r="Z4" i="32"/>
  <c r="AF4" i="32" s="1"/>
  <c r="M15" i="32"/>
  <c r="M9" i="32"/>
  <c r="M3" i="32"/>
  <c r="Q31" i="32" l="1"/>
  <c r="P33" i="32"/>
  <c r="P5" i="32"/>
  <c r="P35" i="32"/>
  <c r="Z12" i="32"/>
  <c r="M70" i="32"/>
  <c r="P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Q7" i="32" s="1"/>
  <c r="W12" i="32"/>
  <c r="Z29" i="32" s="1"/>
  <c r="O15" i="32"/>
  <c r="O13" i="32"/>
  <c r="O9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S15" i="32" s="1"/>
  <c r="K14" i="32"/>
  <c r="AB8" i="32"/>
  <c r="AG8" i="32" s="1"/>
  <c r="AB9" i="32"/>
  <c r="AG9" i="32" s="1"/>
  <c r="AB10" i="32"/>
  <c r="AB4" i="32"/>
  <c r="S14" i="32" l="1"/>
  <c r="L14" i="32" s="1"/>
  <c r="AB5" i="32"/>
  <c r="AG5" i="32" s="1"/>
  <c r="AG4" i="32"/>
  <c r="AC4" i="32"/>
  <c r="P9" i="32"/>
  <c r="Q9" i="32"/>
  <c r="Y5" i="33"/>
  <c r="AD5" i="32" l="1"/>
  <c r="AB7" i="32"/>
  <c r="AB6" i="32"/>
  <c r="AE4" i="32"/>
  <c r="AF5" i="32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S3" i="32" s="1"/>
  <c r="K8" i="32"/>
  <c r="K12" i="32"/>
  <c r="L12" i="32" s="1"/>
  <c r="S8" i="32" l="1"/>
  <c r="L8" i="32" s="1"/>
  <c r="S2" i="32"/>
  <c r="L2" i="32" s="1"/>
  <c r="AG6" i="32"/>
  <c r="AC6" i="32"/>
  <c r="AB12" i="32"/>
  <c r="Z30" i="32" s="1"/>
  <c r="AG7" i="32"/>
  <c r="AC7" i="32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N11" i="18"/>
  <c r="V14" i="18"/>
  <c r="O11" i="18"/>
  <c r="C16" i="18"/>
  <c r="AE6" i="32" l="1"/>
  <c r="AC12" i="32"/>
  <c r="AE7" i="32"/>
  <c r="AD7" i="32"/>
  <c r="AG12" i="32"/>
  <c r="X34" i="32" s="1"/>
  <c r="AA7" i="33"/>
  <c r="AA8" i="33" s="1"/>
  <c r="AA9" i="33" s="1"/>
  <c r="AA10" i="33" s="1"/>
  <c r="AA11" i="33" s="1"/>
  <c r="AA12" i="33" s="1"/>
  <c r="L23" i="18"/>
  <c r="P3" i="32"/>
  <c r="Q3" i="32"/>
  <c r="P13" i="32"/>
  <c r="Q13" i="32"/>
  <c r="P15" i="32"/>
  <c r="Q15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P70" i="32" l="1"/>
  <c r="Q70" i="32"/>
  <c r="Z15" i="32" s="1"/>
  <c r="AE12" i="32"/>
  <c r="AF7" i="32"/>
  <c r="AF12" i="32" s="1"/>
  <c r="AD12" i="32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AA15" i="32"/>
  <c r="F186" i="15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AA16" i="32" l="1"/>
  <c r="Z16" i="32"/>
  <c r="G53" i="16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L24" i="18" l="1"/>
  <c r="N25" i="18" s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N28" i="18" l="1"/>
  <c r="N27" i="18"/>
  <c r="G74" i="13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L27" i="18" s="1"/>
  <c r="B27" i="14"/>
  <c r="E21" i="14"/>
  <c r="E20" i="14" s="1"/>
  <c r="F15" i="18" l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<sst xmlns="http://schemas.openxmlformats.org/spreadsheetml/2006/main" count="2686" uniqueCount="1113">
  <si>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</si>
  <si>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</si>
  <si>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</si>
  <si>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</si>
  <si>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</si>
  <si>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</si>
  <si>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</si>
  <si>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</si>
  <si>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</si>
  <si>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</si>
  <si>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</si>
  <si>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</si>
  <si>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</si>
  <si>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</si>
  <si>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</si>
  <si>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</si>
  <si>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</si>
  <si>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</si>
  <si>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</si>
  <si>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</si>
  <si>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</si>
  <si>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</si>
  <si>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</si>
  <si>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</si>
  <si>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</si>
  <si>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</si>
  <si>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</si>
  <si>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</si>
  <si>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</si>
  <si>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</si>
  <si>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</si>
  <si>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</si>
  <si>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</si>
  <si>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</si>
  <si>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</si>
  <si>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</si>
  <si>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</si>
  <si>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</si>
  <si>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</si>
  <si>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</si>
  <si>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</si>
  <si>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</si>
  <si>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</si>
  <si>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</si>
  <si>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</si>
  <si>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</si>
  <si>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</si>
  <si>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</si>
  <si>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</si>
  <si>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</si>
  <si>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</si>
  <si>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</si>
  <si>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</si>
  <si>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</si>
  <si>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</si>
  <si>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</si>
  <si>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</si>
  <si>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</si>
  <si>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</si>
  <si>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</si>
  <si>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</si>
  <si>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</si>
  <si>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</si>
  <si>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</si>
  <si>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</si>
  <si>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</si>
  <si>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</si>
  <si>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</si>
  <si>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</si>
  <si>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</si>
  <si>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</si>
  <si>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</si>
  <si>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</si>
  <si>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</si>
  <si>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</si>
  <si>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</si>
  <si>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</si>
  <si>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</si>
  <si>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</si>
  <si>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</si>
  <si>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</si>
  <si>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</si>
  <si>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</si>
  <si>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</si>
  <si>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</si>
  <si>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</si>
  <si>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</si>
  <si>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</si>
  <si>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</si>
  <si>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</si>
  <si>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</si>
  <si>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</si>
  <si>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</si>
  <si>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</si>
  <si>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</si>
  <si>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</si>
  <si>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</si>
  <si>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</si>
  <si>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</si>
  <si>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</si>
  <si>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</si>
  <si>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</si>
  <si>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</si>
  <si>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</si>
  <si>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</si>
  <si>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</si>
  <si>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</si>
  <si>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</si>
  <si>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</si>
  <si>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</si>
  <si>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</si>
  <si>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</si>
  <si>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</si>
  <si>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</si>
  <si>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</si>
  <si>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</si>
  <si>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</si>
  <si>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</si>
  <si>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</si>
  <si>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</si>
  <si>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</si>
  <si>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</si>
  <si>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</si>
  <si>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</si>
  <si>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</si>
  <si>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</si>
  <si>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</si>
  <si>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</si>
  <si>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</si>
  <si>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</si>
  <si>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</si>
  <si>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</si>
  <si>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</si>
  <si>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</si>
  <si>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</si>
  <si>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</si>
  <si>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</si>
  <si>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</si>
  <si>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</si>
  <si>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</si>
  <si>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</si>
  <si>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</si>
  <si>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</si>
  <si>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</si>
  <si>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</si>
  <si>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</si>
  <si>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</si>
  <si>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</si>
  <si>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</si>
  <si>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</si>
  <si>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</si>
  <si>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</si>
  <si>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</si>
  <si>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</si>
  <si>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</si>
  <si>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</si>
  <si>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</si>
  <si>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</si>
  <si>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</si>
  <si>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</si>
  <si>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</si>
  <si>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</si>
  <si>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</si>
  <si>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</si>
  <si>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</si>
  <si>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</si>
  <si>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</si>
  <si>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</si>
  <si>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</si>
  <si>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</si>
  <si>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</si>
  <si>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</si>
  <si>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</si>
  <si>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</si>
  <si>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</si>
  <si>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</si>
  <si>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</si>
  <si>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</si>
  <si>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</si>
  <si>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</si>
  <si>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</si>
  <si>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</si>
  <si>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</si>
  <si>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</si>
  <si>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</si>
  <si>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</si>
  <si>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</si>
  <si>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</si>
  <si>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</si>
  <si>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</si>
  <si>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</si>
  <si>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</si>
  <si>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</si>
  <si>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</si>
  <si>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</si>
  <si>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</si>
  <si>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</si>
  <si>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</si>
  <si>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</si>
  <si>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</si>
  <si>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</si>
  <si>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</si>
  <si>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</si>
  <si>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</si>
  <si>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</si>
  <si>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</si>
  <si>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</si>
  <si>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</si>
  <si>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</si>
  <si>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</si>
  <si>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</si>
  <si>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</si>
  <si>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</si>
  <si>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</si>
  <si>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</si>
  <si>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</si>
  <si>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</si>
  <si>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</si>
  <si>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</si>
  <si>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</si>
  <si>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</si>
  <si>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</si>
  <si>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</si>
  <si>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</si>
  <si>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</si>
  <si>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</si>
  <si>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</si>
  <si>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</si>
  <si>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</si>
  <si>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</si>
  <si>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</si>
  <si>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</si>
  <si>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</si>
  <si>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</si>
  <si>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</si>
  <si>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</si>
  <si>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</si>
  <si>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</si>
  <si>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</si>
  <si>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</si>
  <si>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</si>
  <si>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</si>
  <si>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</si>
  <si>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</si>
  <si>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</si>
  <si>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</si>
  <si>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</si>
  <si>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</si>
  <si>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</si>
  <si>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</si>
  <si>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</si>
  <si>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</si>
  <si>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</si>
  <si>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</si>
  <si>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</si>
  <si>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</si>
  <si>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</si>
  <si>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</si>
  <si>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</si>
  <si>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</si>
  <si>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</si>
  <si>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</si>
  <si>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</si>
  <si>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</si>
  <si>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</si>
  <si>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</si>
  <si>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</si>
  <si>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</si>
  <si>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</si>
  <si>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</si>
  <si>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</si>
  <si>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</si>
  <si>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</si>
  <si>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</si>
  <si>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</si>
  <si>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</si>
  <si>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</si>
  <si>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</si>
  <si>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</si>
  <si>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</si>
  <si>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</si>
  <si>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</si>
  <si>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</si>
  <si>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</si>
  <si>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</si>
  <si>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</si>
  <si>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</si>
  <si>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</si>
  <si>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</si>
  <si>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</si>
  <si>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</si>
  <si>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</si>
  <si>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</si>
  <si>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</si>
  <si>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</si>
  <si>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</si>
  <si>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</si>
  <si>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</si>
  <si>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</si>
  <si>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</si>
  <si>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</si>
  <si>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</si>
  <si>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</si>
  <si>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</si>
  <si>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</si>
  <si>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</si>
  <si>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</si>
  <si>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</si>
  <si>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</si>
  <si>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</si>
  <si>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</si>
  <si>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</si>
  <si>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</si>
  <si>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</si>
  <si>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</si>
  <si>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</si>
  <si>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</si>
  <si>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</si>
  <si>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</si>
  <si>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</si>
  <si>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</si>
  <si>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</si>
  <si>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</si>
  <si>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</si>
  <si>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</si>
  <si>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</si>
  <si>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</si>
  <si>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</si>
  <si>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</si>
  <si>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</si>
  <si>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</si>
  <si>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</si>
  <si>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</si>
  <si>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</si>
  <si>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</si>
  <si>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</si>
  <si>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</si>
  <si>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</si>
  <si>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</si>
  <si>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</si>
  <si>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</si>
  <si>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</si>
  <si>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</si>
  <si>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</si>
  <si>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</si>
  <si>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</si>
  <si>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</si>
  <si>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</si>
  <si>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</si>
  <si>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</si>
  <si>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</si>
  <si>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</si>
  <si>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</si>
  <si>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</si>
  <si>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</si>
  <si>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</si>
  <si>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</si>
  <si>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</si>
  <si>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</si>
  <si>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</si>
  <si>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</si>
  <si>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</si>
  <si>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</si>
  <si>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</si>
  <si>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</si>
  <si>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</si>
  <si>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</si>
  <si>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</si>
  <si>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</si>
  <si>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</si>
  <si>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</si>
  <si>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</si>
  <si>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</si>
  <si>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</si>
  <si>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</si>
  <si>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</si>
  <si>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</si>
  <si>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</si>
  <si>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</si>
  <si>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</si>
  <si>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</si>
  <si>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</si>
  <si>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</si>
  <si>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</si>
  <si>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</si>
  <si>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</si>
  <si>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</si>
  <si>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</si>
  <si>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</si>
  <si>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</si>
  <si>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</si>
  <si>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</si>
  <si>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</si>
  <si>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</si>
  <si>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</si>
  <si>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</si>
  <si>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</si>
  <si>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</si>
  <si>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</si>
  <si>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</si>
  <si>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</si>
  <si>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</si>
  <si>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</si>
  <si>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</si>
  <si>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</si>
  <si>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</si>
  <si>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</si>
  <si>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</si>
  <si>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</si>
  <si>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</si>
  <si>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</si>
  <si>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</si>
  <si>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</si>
  <si>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</si>
  <si>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</si>
  <si>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</si>
  <si>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</si>
  <si>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</si>
  <si>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</si>
  <si>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</si>
  <si>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</si>
  <si>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</si>
  <si>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</si>
  <si>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</si>
  <si>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</si>
  <si>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</si>
  <si>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</si>
  <si>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</si>
  <si>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</si>
  <si>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</si>
  <si>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</si>
  <si>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</si>
  <si>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</si>
  <si>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</si>
  <si>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</si>
  <si>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</si>
  <si>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</si>
  <si>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</si>
  <si>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</si>
  <si>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</si>
  <si>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</si>
  <si>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</si>
  <si>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</si>
  <si>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</si>
  <si>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</si>
  <si>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</si>
  <si>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</si>
  <si>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</si>
  <si>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</si>
  <si>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</si>
  <si>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</si>
  <si>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</si>
  <si>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</si>
  <si>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</si>
  <si>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</si>
  <si>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</si>
  <si>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</si>
  <si>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</si>
  <si>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</si>
  <si>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</si>
  <si>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</si>
  <si>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</si>
  <si>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</si>
  <si>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</si>
  <si>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</si>
  <si>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</si>
  <si>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</si>
  <si>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</si>
  <si>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</si>
  <si>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</si>
  <si>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</si>
  <si>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</si>
  <si>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</si>
  <si>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</si>
  <si>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</si>
  <si>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</si>
  <si>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</si>
  <si>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</si>
  <si>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</si>
  <si>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</si>
  <si>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</si>
  <si>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</si>
  <si>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</si>
  <si>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</si>
  <si>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</si>
  <si>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</si>
  <si>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</si>
  <si>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</si>
  <si>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</si>
  <si>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</si>
  <si>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</si>
  <si>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</si>
  <si>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</si>
  <si>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</si>
  <si>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</si>
  <si>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</si>
  <si>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</si>
  <si>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</si>
  <si>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</si>
  <si>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</si>
  <si>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</si>
  <si>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</si>
  <si>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</si>
  <si>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</si>
  <si>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</si>
  <si>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</si>
  <si>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</si>
  <si>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</si>
  <si>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</si>
  <si>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</si>
  <si>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</si>
  <si>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</si>
  <si>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</si>
  <si>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</si>
  <si>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</si>
  <si>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</si>
  <si>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</si>
  <si>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</si>
  <si>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</si>
  <si>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</si>
  <si>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</si>
  <si>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</si>
  <si>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</si>
  <si>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</si>
  <si>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</si>
  <si>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</si>
  <si>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</si>
  <si>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</si>
  <si>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</si>
  <si>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</si>
  <si>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</si>
  <si>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</si>
  <si>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</si>
  <si>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</si>
  <si>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</si>
  <si>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</si>
  <si>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</si>
  <si>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</si>
  <si>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</si>
  <si>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</si>
  <si>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</si>
  <si>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</si>
  <si>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</si>
  <si>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</si>
  <si>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</si>
  <si>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</si>
  <si>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</si>
  <si>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</si>
  <si>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</si>
  <si>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</si>
  <si>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</si>
  <si>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</si>
  <si>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</si>
  <si>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</si>
  <si>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</si>
  <si>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</si>
  <si>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</si>
  <si>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</si>
  <si>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</si>
  <si>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</si>
  <si>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</si>
  <si>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</si>
  <si>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</si>
  <si>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</si>
  <si>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</si>
  <si>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</si>
  <si>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</si>
  <si>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</si>
  <si>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</si>
  <si>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</si>
  <si>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</si>
  <si>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</si>
  <si>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</si>
  <si>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</si>
  <si>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</si>
  <si>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</si>
  <si>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</si>
  <si>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</si>
  <si>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</si>
  <si>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</si>
  <si>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</si>
  <si>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</si>
  <si>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</si>
  <si>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</si>
  <si>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</si>
  <si>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</si>
  <si>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</si>
  <si>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</si>
  <si>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</si>
  <si>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</si>
  <si>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</si>
  <si>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</si>
  <si>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</si>
  <si>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</si>
  <si>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</si>
  <si>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</si>
  <si>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</si>
  <si>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</si>
  <si>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</si>
  <si>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</si>
  <si>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</si>
  <si>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</si>
  <si>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</si>
  <si>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</si>
  <si>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</si>
  <si>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</si>
  <si>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</si>
  <si>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</si>
  <si>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</si>
  <si>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</si>
  <si>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</si>
  <si>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</si>
  <si>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</si>
  <si>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</si>
  <si>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</si>
  <si>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</si>
  <si>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</si>
  <si>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</si>
  <si>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</si>
  <si>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</si>
  <si>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</si>
  <si>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</si>
  <si>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</si>
  <si>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</si>
  <si>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</si>
  <si>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</si>
  <si>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</si>
  <si>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</si>
  <si>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</si>
  <si>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</si>
  <si>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</si>
  <si>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</si>
  <si>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</si>
  <si>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</si>
  <si>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</si>
  <si>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</si>
  <si>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</si>
  <si>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</si>
  <si>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</si>
  <si>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</si>
  <si>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</si>
  <si>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</si>
  <si>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</si>
  <si>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</si>
  <si>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</si>
  <si>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</si>
  <si>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</si>
  <si>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</si>
  <si>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</si>
  <si>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</si>
  <si>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</si>
  <si>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</si>
  <si>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</si>
  <si>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</si>
  <si>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</si>
  <si>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</si>
  <si>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</si>
  <si>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</si>
  <si>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</si>
  <si>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</si>
  <si>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</si>
  <si>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</si>
  <si>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</si>
  <si>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</si>
  <si>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</si>
  <si>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</si>
  <si>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</si>
  <si>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</si>
  <si>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</si>
  <si>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</si>
  <si>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</si>
  <si>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</si>
  <si>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</si>
  <si>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</si>
  <si>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</si>
  <si>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</si>
  <si>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</si>
  <si>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</si>
  <si>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</si>
  <si>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</si>
  <si>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</si>
  <si>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</si>
  <si>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</si>
  <si>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</si>
  <si>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</si>
  <si>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</si>
  <si>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</si>
  <si>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</si>
  <si>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</si>
  <si>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</si>
  <si>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</si>
  <si>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</si>
  <si>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</si>
  <si>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</si>
  <si>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</si>
  <si>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</si>
  <si>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</si>
  <si>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</si>
  <si>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</si>
  <si>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</si>
  <si>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</si>
  <si>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</si>
  <si>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</si>
  <si>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</si>
  <si>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</si>
  <si>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</si>
  <si>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</si>
  <si>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</si>
  <si>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</si>
  <si>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</si>
  <si>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</si>
  <si>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</si>
  <si>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</si>
  <si>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</si>
  <si>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</si>
  <si>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</si>
  <si>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</si>
  <si>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</si>
  <si>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</si>
  <si>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</si>
  <si>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</si>
  <si>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</si>
  <si>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</si>
  <si>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</si>
  <si>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</si>
  <si>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</si>
  <si>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</si>
  <si>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</si>
  <si>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</si>
  <si>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</si>
  <si>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</si>
  <si>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</si>
  <si>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</si>
  <si>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</si>
  <si>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</si>
  <si>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</si>
  <si>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</si>
  <si>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</si>
  <si>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</si>
  <si>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</si>
  <si>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</si>
  <si>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</si>
  <si>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</si>
  <si>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</si>
  <si>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</si>
  <si>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</si>
  <si>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</si>
  <si>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</si>
  <si>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</si>
  <si>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</si>
  <si>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</si>
  <si>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</si>
  <si>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</si>
  <si>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</si>
  <si>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</si>
  <si>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</si>
  <si>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</si>
  <si>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</si>
  <si>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</si>
  <si>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</si>
  <si>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</si>
  <si>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</si>
  <si>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</si>
  <si>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</si>
  <si>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</si>
  <si>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</si>
  <si>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</si>
  <si>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</si>
  <si>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</si>
  <si>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</si>
  <si>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</si>
  <si>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</si>
  <si>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</si>
  <si>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</si>
  <si>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</si>
  <si>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</si>
  <si>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</si>
  <si>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</si>
  <si>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</si>
  <si>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</si>
  <si>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</si>
  <si>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</si>
  <si>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</si>
  <si>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</si>
  <si>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</si>
  <si>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</si>
  <si>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</si>
  <si>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</si>
  <si>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</si>
  <si>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</si>
  <si>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</si>
  <si>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</si>
  <si>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</si>
  <si>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</si>
  <si>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</si>
  <si>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</si>
  <si>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</si>
  <si>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</si>
  <si>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</si>
  <si>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</si>
  <si>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</si>
  <si>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</si>
  <si>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</si>
  <si>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</si>
  <si>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</si>
  <si>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</si>
  <si>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</si>
  <si>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</si>
  <si>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</si>
  <si>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</si>
  <si>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</si>
  <si>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</si>
  <si>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</si>
  <si>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</si>
  <si>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</si>
  <si>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</si>
  <si>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</si>
  <si>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</si>
  <si>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</si>
  <si>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</si>
  <si>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</si>
  <si>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</si>
  <si>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</si>
  <si>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</si>
  <si>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</si>
  <si>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</si>
  <si>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</si>
  <si>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</si>
  <si>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</si>
  <si>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</si>
  <si>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</si>
  <si>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</si>
  <si>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</si>
  <si>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</si>
  <si>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</si>
  <si>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</si>
  <si>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</si>
  <si>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</si>
  <si>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</si>
  <si>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</si>
  <si>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</si>
  <si>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</si>
  <si>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</si>
  <si>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</si>
  <si>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</si>
  <si>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</si>
  <si>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</si>
  <si>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</si>
  <si>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</si>
  <si>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</si>
  <si>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</si>
  <si>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</si>
  <si>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</si>
  <si>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</si>
  <si>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</si>
  <si>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</si>
  <si>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</si>
  <si>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</si>
  <si>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</si>
  <si>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</si>
  <si>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</si>
  <si>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</si>
  <si>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</si>
  <si>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</si>
  <si>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</si>
  <si>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</si>
  <si>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</si>
  <si>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</si>
  <si>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</si>
  <si>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</si>
  <si>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</si>
  <si>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</si>
  <si>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</si>
  <si>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</si>
  <si>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</si>
  <si>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</si>
  <si>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</si>
  <si>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</si>
  <si>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</si>
  <si>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</si>
  <si>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</si>
  <si>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</si>
  <si>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</si>
  <si>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</si>
  <si>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</si>
  <si>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</si>
  <si>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</si>
  <si>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</si>
  <si>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</si>
  <si>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</si>
  <si>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</si>
  <si>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</si>
  <si>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</si>
  <si>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</si>
  <si>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</si>
  <si>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</si>
  <si>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</si>
  <si>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</si>
  <si>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</si>
  <si>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</si>
  <si>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</si>
  <si>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</si>
  <si>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</si>
  <si>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</si>
  <si>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</si>
  <si>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</si>
  <si>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</si>
  <si>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</si>
  <si>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</si>
  <si>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</si>
  <si>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</si>
  <si>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</si>
  <si>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</si>
  <si>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</si>
  <si>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</si>
  <si>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</si>
  <si>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</si>
  <si>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</si>
  <si>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</si>
  <si>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</si>
  <si>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</si>
  <si>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</si>
  <si>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</si>
  <si>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</si>
  <si>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</si>
  <si>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</si>
  <si>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</si>
  <si>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</si>
  <si>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</si>
  <si>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</si>
  <si>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</si>
  <si>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</si>
  <si>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</si>
  <si>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</si>
  <si>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</si>
  <si>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</si>
  <si>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</si>
  <si>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</si>
  <si>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</si>
  <si>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</si>
  <si>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</si>
  <si>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</si>
  <si>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</si>
  <si>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</si>
  <si>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</si>
  <si>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</si>
  <si>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</si>
  <si>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</si>
  <si>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</si>
  <si>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</si>
  <si>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</si>
  <si>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</si>
  <si>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</si>
  <si>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</si>
  <si>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</si>
  <si>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</si>
  <si>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</si>
  <si>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</si>
  <si>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</si>
  <si>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</si>
  <si>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</si>
  <si>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</si>
  <si>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</si>
  <si>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</si>
  <si>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</si>
  <si>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</si>
  <si>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</si>
  <si>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</si>
  <si>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</si>
  <si>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</si>
  <si>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</si>
  <si>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</si>
  <si>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</si>
  <si>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</si>
  <si>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</si>
  <si>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</si>
  <si>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</si>
  <si>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</si>
  <si>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</si>
  <si>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</si>
  <si>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</si>
  <si>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</si>
  <si>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</si>
  <si>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</si>
  <si>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</si>
  <si>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</si>
  <si>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</si>
  <si>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</si>
  <si>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</si>
  <si>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</si>
  <si>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</si>
  <si>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</si>
  <si>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</si>
  <si>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</si>
  <si>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</si>
  <si>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</si>
  <si>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</si>
  <si>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</si>
  <si>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</si>
  <si>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</si>
  <si>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</si>
  <si>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</si>
  <si>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</si>
  <si>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</si>
  <si>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</si>
  <si>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</si>
  <si>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</si>
  <si>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</si>
  <si>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</si>
  <si>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</si>
  <si>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</si>
  <si>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</si>
  <si>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</si>
  <si>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</si>
  <si>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</si>
  <si>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</si>
  <si>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</si>
  <si>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</si>
  <si>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</si>
  <si>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</si>
  <si>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</si>
  <si>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</si>
  <si>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</si>
  <si>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</si>
  <si>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</si>
  <si>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</si>
  <si>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</si>
  <si>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</si>
  <si>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</si>
  <si>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</si>
  <si>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</si>
  <si>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</si>
  <si>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</si>
  <si>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</si>
  <si>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</si>
  <si>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</si>
  <si>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</si>
  <si>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</si>
  <si>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</si>
  <si>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</si>
  <si>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</si>
  <si>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</si>
  <si>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</si>
  <si>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</si>
  <si>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</si>
  <si>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</si>
  <si>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</si>
  <si>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</si>
  <si>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</si>
  <si>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</si>
  <si>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</si>
  <si>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</si>
  <si>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</si>
  <si>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</si>
  <si>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</si>
  <si>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</si>
  <si>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</si>
  <si>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</si>
  <si>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</si>
  <si>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</si>
  <si>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</si>
  <si>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</si>
  <si>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</si>
  <si>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</si>
  <si>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</si>
  <si>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</si>
  <si>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</si>
  <si>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</si>
  <si>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</si>
  <si>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</si>
  <si>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</si>
  <si>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</si>
  <si>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</si>
  <si>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</si>
  <si>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</si>
  <si>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</si>
  <si>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</si>
  <si>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</si>
  <si>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</si>
  <si>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</si>
  <si>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</si>
  <si>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</si>
  <si>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</si>
  <si>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</si>
  <si>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</si>
  <si>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</si>
  <si>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</si>
  <si>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</si>
  <si>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</si>
  <si>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</si>
  <si>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</si>
  <si>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</si>
  <si>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نقدی دادم بابت عیدی دادن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</si>
  <si>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</si>
  <si>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</si>
  <si>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</si>
  <si>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</si>
  <si>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</si>
  <si>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</si>
  <si>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</si>
  <si>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</si>
  <si>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</si>
  <si>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</si>
  <si>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</si>
  <si>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</si>
  <si>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</si>
  <si>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</si>
  <si>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</si>
  <si>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</si>
  <si>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</si>
  <si>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</si>
  <si>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</si>
  <si>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7/1/1397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</si>
</sst>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918</v>
      </c>
      <c r="B3" s="18">
        <v>0</v>
      </c>
      <c r="C3" s="18">
        <v>0</v>
      </c>
      <c r="D3" s="43">
        <f t="shared" ref="D3:D22" si="0">B3-C3</f>
        <v>0</v>
      </c>
      <c r="E3" s="20" t="s">
        <v>919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932</v>
      </c>
      <c r="B4" s="18">
        <v>0</v>
      </c>
      <c r="C4" s="18">
        <v>0</v>
      </c>
      <c r="D4" s="3">
        <f t="shared" si="0"/>
        <v>0</v>
      </c>
      <c r="E4" s="11" t="s">
        <v>938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959</v>
      </c>
      <c r="B5" s="18">
        <v>0</v>
      </c>
      <c r="C5" s="18">
        <v>0</v>
      </c>
      <c r="D5" s="3">
        <f t="shared" si="0"/>
        <v>0</v>
      </c>
      <c r="E5" s="20" t="s">
        <v>1046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1074</v>
      </c>
      <c r="B6" s="18">
        <v>0</v>
      </c>
      <c r="C6" s="18">
        <v>0</v>
      </c>
      <c r="D6" s="3">
        <f t="shared" si="0"/>
        <v>0</v>
      </c>
      <c r="E6" s="19" t="s">
        <v>1076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1077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1093</v>
      </c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6831422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722</v>
      </c>
      <c r="B130" s="18">
        <v>-1000000</v>
      </c>
      <c r="C130" s="18">
        <v>-1000000</v>
      </c>
      <c r="D130" s="18">
        <f t="shared" si="12"/>
        <v>0</v>
      </c>
      <c r="E130" s="11" t="s">
        <v>743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726</v>
      </c>
      <c r="B131" s="18">
        <v>-50000000</v>
      </c>
      <c r="C131" s="18">
        <v>0</v>
      </c>
      <c r="D131" s="18">
        <f t="shared" si="12"/>
        <v>-50000000</v>
      </c>
      <c r="E131" s="11" t="s">
        <v>727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751</v>
      </c>
      <c r="B133" s="18">
        <v>-1210700</v>
      </c>
      <c r="C133" s="18">
        <v>0</v>
      </c>
      <c r="D133" s="18">
        <f t="shared" si="12"/>
        <v>-1210700</v>
      </c>
      <c r="E133" s="11" t="s">
        <v>752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768</v>
      </c>
      <c r="B134" s="18">
        <v>-65000</v>
      </c>
      <c r="C134" s="18">
        <v>0</v>
      </c>
      <c r="D134" s="18">
        <f t="shared" si="12"/>
        <v>-65000</v>
      </c>
      <c r="E134" s="11" t="s">
        <v>771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768</v>
      </c>
      <c r="B135" s="18">
        <v>-32300</v>
      </c>
      <c r="C135" s="18">
        <v>0</v>
      </c>
      <c r="D135" s="18">
        <f t="shared" si="12"/>
        <v>-32300</v>
      </c>
      <c r="E135" s="11" t="s">
        <v>772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779</v>
      </c>
      <c r="B136" s="18">
        <v>-1000000</v>
      </c>
      <c r="C136" s="18">
        <v>-1000000</v>
      </c>
      <c r="D136" s="18">
        <f t="shared" si="12"/>
        <v>0</v>
      </c>
      <c r="E136" s="11" t="s">
        <v>780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807</v>
      </c>
      <c r="B138" s="18">
        <v>-1000500</v>
      </c>
      <c r="C138" s="18">
        <v>-1000500</v>
      </c>
      <c r="D138" s="18">
        <f t="shared" si="12"/>
        <v>0</v>
      </c>
      <c r="E138" s="11" t="s">
        <v>808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828</v>
      </c>
      <c r="B139" s="18">
        <v>282240</v>
      </c>
      <c r="C139" s="18">
        <v>88807</v>
      </c>
      <c r="D139" s="18">
        <f t="shared" si="12"/>
        <v>193433</v>
      </c>
      <c r="E139" s="11" t="s">
        <v>831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833</v>
      </c>
      <c r="B140" s="18">
        <v>1500000</v>
      </c>
      <c r="C140" s="18">
        <v>0</v>
      </c>
      <c r="D140" s="18">
        <f t="shared" si="12"/>
        <v>1500000</v>
      </c>
      <c r="E140" s="11" t="s">
        <v>834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856</v>
      </c>
      <c r="B141" s="18">
        <v>0</v>
      </c>
      <c r="C141" s="18">
        <v>-1000000</v>
      </c>
      <c r="D141" s="18">
        <f t="shared" si="12"/>
        <v>1000000</v>
      </c>
      <c r="E141" s="11" t="s">
        <v>855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869</v>
      </c>
      <c r="B142" s="18">
        <v>290893</v>
      </c>
      <c r="C142" s="18">
        <v>81022</v>
      </c>
      <c r="D142" s="18">
        <f t="shared" si="12"/>
        <v>209871</v>
      </c>
      <c r="E142" s="11" t="s">
        <v>875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898</v>
      </c>
      <c r="B143" s="18">
        <v>0</v>
      </c>
      <c r="C143" s="18">
        <v>-1000000</v>
      </c>
      <c r="D143" s="18">
        <f t="shared" si="12"/>
        <v>1000000</v>
      </c>
      <c r="E143" s="11" t="s">
        <v>902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932</v>
      </c>
      <c r="B145" s="18">
        <v>-10000</v>
      </c>
      <c r="C145" s="18">
        <v>-5000</v>
      </c>
      <c r="D145" s="18">
        <f t="shared" si="12"/>
        <v>-5000</v>
      </c>
      <c r="E145" s="74" t="s">
        <v>938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918</v>
      </c>
      <c r="B146" s="18">
        <v>-1000500</v>
      </c>
      <c r="C146" s="18">
        <v>-1000500</v>
      </c>
      <c r="D146" s="18">
        <f t="shared" si="12"/>
        <v>0</v>
      </c>
      <c r="E146" s="11" t="s">
        <v>919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959</v>
      </c>
      <c r="B147" s="18">
        <v>-27000000</v>
      </c>
      <c r="C147" s="18">
        <v>0</v>
      </c>
      <c r="D147" s="18">
        <f t="shared" si="12"/>
        <v>-27000000</v>
      </c>
      <c r="E147" s="11" t="s">
        <v>1045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1074</v>
      </c>
      <c r="B148" s="18">
        <v>252436</v>
      </c>
      <c r="C148" s="18">
        <v>65510</v>
      </c>
      <c r="D148" s="18">
        <f t="shared" si="12"/>
        <v>186926</v>
      </c>
      <c r="E148" s="11" t="s">
        <v>1076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874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722</v>
      </c>
      <c r="B5" s="18">
        <v>-1000000</v>
      </c>
      <c r="C5" s="18">
        <v>-1000000</v>
      </c>
      <c r="D5" s="3">
        <f t="shared" si="0"/>
        <v>0</v>
      </c>
      <c r="E5" s="20" t="s">
        <v>743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726</v>
      </c>
      <c r="B6" s="18">
        <v>-50000000</v>
      </c>
      <c r="C6" s="18">
        <v>0</v>
      </c>
      <c r="D6" s="3">
        <f t="shared" si="0"/>
        <v>-50000000</v>
      </c>
      <c r="E6" s="19" t="s">
        <v>727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728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737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742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751</v>
      </c>
      <c r="B4" s="18">
        <v>-1210700</v>
      </c>
      <c r="C4" s="18">
        <v>0</v>
      </c>
      <c r="D4" s="3">
        <f t="shared" si="0"/>
        <v>-1210700</v>
      </c>
      <c r="E4" s="11" t="s">
        <v>752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768</v>
      </c>
      <c r="B5" s="18">
        <v>-97300</v>
      </c>
      <c r="C5" s="18">
        <v>0</v>
      </c>
      <c r="D5" s="3">
        <f t="shared" si="0"/>
        <v>-97300</v>
      </c>
      <c r="E5" s="20" t="s">
        <v>773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-1000000</v>
      </c>
      <c r="C6" s="18">
        <v>-1000000</v>
      </c>
      <c r="D6" s="3">
        <f t="shared" si="0"/>
        <v>0</v>
      </c>
      <c r="E6" s="19" t="s">
        <v>780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753</v>
      </c>
      <c r="G31" s="9" t="s">
        <v>783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763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774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776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807</v>
      </c>
      <c r="B4" s="18">
        <v>-1000500</v>
      </c>
      <c r="C4" s="18">
        <v>-1000500</v>
      </c>
      <c r="D4" s="3">
        <f t="shared" si="0"/>
        <v>0</v>
      </c>
      <c r="E4" s="11" t="s">
        <v>808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828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828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833</v>
      </c>
      <c r="B3" s="18">
        <v>1500000</v>
      </c>
      <c r="C3" s="18">
        <v>0</v>
      </c>
      <c r="D3" s="43">
        <f t="shared" ref="D3:D22" si="0">B3-C3</f>
        <v>1500000</v>
      </c>
      <c r="E3" s="20" t="s">
        <v>834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854</v>
      </c>
      <c r="B4" s="18">
        <v>0</v>
      </c>
      <c r="C4" s="18">
        <v>-1000000</v>
      </c>
      <c r="D4" s="3">
        <f t="shared" si="0"/>
        <v>1000000</v>
      </c>
      <c r="E4" s="11" t="s">
        <v>855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869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842</v>
      </c>
      <c r="G31" s="9" t="s">
        <v>909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843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850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852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853</v>
      </c>
    </row>
    <row r="36" spans="4:17" x14ac:dyDescent="0.25">
      <c r="D36" s="42">
        <v>-10000</v>
      </c>
      <c r="E36" s="41" t="s">
        <v>863</v>
      </c>
    </row>
    <row r="37" spans="4:17" x14ac:dyDescent="0.25">
      <c r="D37" s="7">
        <v>-180000</v>
      </c>
      <c r="E37" s="41" t="s">
        <v>868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5" activePane="bottomLeft" state="frozen"/>
      <selection pane="bottomLeft" activeCell="N8" sqref="N8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872</v>
      </c>
      <c r="N6" t="s">
        <v>1108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K10" t="s">
        <v>1109</v>
      </c>
      <c r="L10" s="34">
        <v>410021484671</v>
      </c>
      <c r="M10" s="33" t="s">
        <v>1110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726</v>
      </c>
      <c r="B83" s="38">
        <v>50000000</v>
      </c>
      <c r="C83" s="11" t="s">
        <v>729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724</v>
      </c>
      <c r="B84" s="38">
        <v>30000000</v>
      </c>
      <c r="C84" s="11" t="s">
        <v>730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724</v>
      </c>
      <c r="B85" s="38">
        <v>-72500000</v>
      </c>
      <c r="C85" s="11" t="s">
        <v>731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732</v>
      </c>
      <c r="B86" s="38">
        <v>-281000</v>
      </c>
      <c r="C86" s="11" t="s">
        <v>744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737</v>
      </c>
      <c r="B87" s="38">
        <v>2500000</v>
      </c>
      <c r="C87" s="11" t="s">
        <v>741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632</v>
      </c>
      <c r="B88" s="38">
        <v>78340</v>
      </c>
      <c r="C88" s="11" t="s">
        <v>742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749</v>
      </c>
      <c r="B89" s="38">
        <v>15000000</v>
      </c>
      <c r="C89" s="11" t="s">
        <v>750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633</v>
      </c>
      <c r="B90" s="38">
        <v>244846</v>
      </c>
      <c r="C90" s="11" t="s">
        <v>784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828</v>
      </c>
      <c r="B91" s="38">
        <v>272155</v>
      </c>
      <c r="C91" s="11" t="s">
        <v>830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869</v>
      </c>
      <c r="B92" s="38">
        <v>3000000</v>
      </c>
      <c r="C92" s="11" t="s">
        <v>871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869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878</v>
      </c>
      <c r="B94" s="38">
        <v>5500000</v>
      </c>
      <c r="C94" s="11" t="s">
        <v>879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880</v>
      </c>
      <c r="B95" s="38">
        <v>3000000</v>
      </c>
      <c r="C95" s="11" t="s">
        <v>881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882</v>
      </c>
      <c r="B96" s="38">
        <v>3000000</v>
      </c>
      <c r="C96" s="11" t="s">
        <v>883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884</v>
      </c>
      <c r="B97" s="38">
        <v>3000000</v>
      </c>
      <c r="C97" s="11" t="s">
        <v>885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886</v>
      </c>
      <c r="B98" s="38">
        <v>3000000</v>
      </c>
      <c r="C98" s="11" t="s">
        <v>887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888</v>
      </c>
      <c r="B99" s="38">
        <v>3000000</v>
      </c>
      <c r="C99" s="11" t="s">
        <v>889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890</v>
      </c>
      <c r="B100" s="38">
        <v>999500</v>
      </c>
      <c r="C100" s="11" t="s">
        <v>904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903</v>
      </c>
      <c r="B101" s="38">
        <v>-1986700</v>
      </c>
      <c r="C101" s="73" t="s">
        <v>905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907</v>
      </c>
      <c r="B102" s="38">
        <v>3000000</v>
      </c>
      <c r="C102" s="73" t="s">
        <v>908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1051</v>
      </c>
      <c r="B103" s="38">
        <v>295500</v>
      </c>
      <c r="C103" s="73" t="s">
        <v>1052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932</v>
      </c>
      <c r="B104" s="38">
        <v>-10000</v>
      </c>
      <c r="C104" s="73" t="s">
        <v>938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940</v>
      </c>
      <c r="B105" s="38">
        <v>1999000</v>
      </c>
      <c r="C105" s="73" t="s">
        <v>941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959</v>
      </c>
      <c r="B106" s="38">
        <v>-60000000</v>
      </c>
      <c r="C106" s="73" t="s">
        <v>1045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959</v>
      </c>
      <c r="B107" s="38">
        <v>5850000</v>
      </c>
      <c r="C107" s="73" t="s">
        <v>1049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1056</v>
      </c>
      <c r="B108" s="38">
        <v>3000000</v>
      </c>
      <c r="C108" s="73" t="s">
        <v>1066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1067</v>
      </c>
      <c r="B109" s="38">
        <v>2000000</v>
      </c>
      <c r="C109" s="73" t="s">
        <v>1066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1067</v>
      </c>
      <c r="B110" s="38">
        <v>-5000000</v>
      </c>
      <c r="C110" s="73" t="s">
        <v>1045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1074</v>
      </c>
      <c r="B111" s="38">
        <v>412668</v>
      </c>
      <c r="C111" s="73" t="s">
        <v>1075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873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828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898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907</v>
      </c>
      <c r="B4" s="39">
        <v>294852</v>
      </c>
      <c r="C4" s="39">
        <v>74657</v>
      </c>
      <c r="D4" s="35">
        <f t="shared" si="0"/>
        <v>220195</v>
      </c>
      <c r="E4" s="23" t="s">
        <v>917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919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932</v>
      </c>
      <c r="B4" s="18">
        <v>-10000</v>
      </c>
      <c r="C4" s="18">
        <v>-5000</v>
      </c>
      <c r="D4" s="3">
        <f t="shared" si="0"/>
        <v>-5000</v>
      </c>
      <c r="E4" s="11" t="s">
        <v>938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959</v>
      </c>
      <c r="B5" s="18">
        <v>-27000000</v>
      </c>
      <c r="C5" s="18">
        <v>0</v>
      </c>
      <c r="D5" s="3">
        <f t="shared" si="0"/>
        <v>-27000000</v>
      </c>
      <c r="E5" s="20" t="s">
        <v>1046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1074</v>
      </c>
      <c r="B6" s="18">
        <v>252436</v>
      </c>
      <c r="C6" s="18">
        <v>65510</v>
      </c>
      <c r="D6" s="3">
        <f t="shared" si="0"/>
        <v>186926</v>
      </c>
      <c r="E6" s="19" t="s">
        <v>1076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950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1065</v>
      </c>
    </row>
    <row r="36" spans="4:17" x14ac:dyDescent="0.25">
      <c r="D36" s="42">
        <v>245000</v>
      </c>
      <c r="E36" s="41" t="s">
        <v>1065</v>
      </c>
    </row>
    <row r="37" spans="4:17" x14ac:dyDescent="0.25">
      <c r="D37" s="7">
        <v>-25000</v>
      </c>
      <c r="E37" s="41" t="s">
        <v>1069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tabSelected="1" topLeftCell="G1" zoomScaleNormal="100" workbookViewId="0">
      <pane ySplit="1" topLeftCell="A17" activePane="bottomLeft" state="frozen"/>
      <selection pane="bottomLeft" activeCell="X40" sqref="X40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6.14062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7.85546875" bestFit="1" customWidth="1"/>
    <col min="24" max="24" width="28.85546875" customWidth="1"/>
    <col min="25" max="25" width="18.42578125" bestFit="1" customWidth="1"/>
    <col min="26" max="27" width="15.140625" bestFit="1" customWidth="1"/>
    <col min="28" max="28" width="18.5703125" customWidth="1"/>
    <col min="29" max="29" width="17.28515625" bestFit="1" customWidth="1"/>
    <col min="30" max="30" width="17.5703125" bestFit="1" customWidth="1"/>
    <col min="31" max="31" width="16.28515625" customWidth="1"/>
    <col min="32" max="32" width="15.140625" bestFit="1" customWidth="1"/>
    <col min="33" max="33" width="16.140625" bestFit="1" customWidth="1"/>
  </cols>
  <sheetData>
    <row r="1" spans="1:33" x14ac:dyDescent="0.25">
      <c r="A1" s="11" t="s">
        <v>965</v>
      </c>
      <c r="B1" s="11" t="s">
        <v>962</v>
      </c>
      <c r="C1" s="11" t="s">
        <v>963</v>
      </c>
      <c r="D1" s="11" t="s">
        <v>974</v>
      </c>
      <c r="E1" s="11" t="s">
        <v>976</v>
      </c>
      <c r="F1" s="11" t="s">
        <v>966</v>
      </c>
      <c r="G1" s="11" t="s">
        <v>183</v>
      </c>
      <c r="H1" s="11" t="s">
        <v>981</v>
      </c>
      <c r="I1" s="11" t="s">
        <v>971</v>
      </c>
      <c r="J1" s="11" t="s">
        <v>977</v>
      </c>
      <c r="K1" s="11" t="s">
        <v>978</v>
      </c>
      <c r="L1" s="11" t="s">
        <v>972</v>
      </c>
      <c r="M1" s="11" t="s">
        <v>979</v>
      </c>
      <c r="N1" s="11" t="s">
        <v>5</v>
      </c>
      <c r="O1" s="11" t="s">
        <v>483</v>
      </c>
      <c r="P1" s="11" t="s">
        <v>39</v>
      </c>
      <c r="Q1" s="11" t="s">
        <v>1053</v>
      </c>
      <c r="R1" s="11" t="s">
        <v>982</v>
      </c>
      <c r="S1" s="74" t="s">
        <v>1071</v>
      </c>
      <c r="AB1" s="11" t="s">
        <v>981</v>
      </c>
      <c r="AC1" s="25"/>
    </row>
    <row r="2" spans="1:33" x14ac:dyDescent="0.25">
      <c r="A2" s="76" t="s">
        <v>951</v>
      </c>
      <c r="B2" s="76" t="s">
        <v>973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32" si="0">F2*G2*($AB$2-H2)/(36500)</f>
        <v>0</v>
      </c>
      <c r="J2" s="76">
        <v>7.2499999999999995E-2</v>
      </c>
      <c r="K2" s="77">
        <f t="shared" ref="K2:K11" si="1"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77">
        <f>C2*E2+K2-F2</f>
        <v>-463672.8900000006</v>
      </c>
      <c r="AB2" s="11">
        <v>22</v>
      </c>
      <c r="AC2" s="25"/>
    </row>
    <row r="3" spans="1:33" x14ac:dyDescent="0.25">
      <c r="A3" s="76" t="s">
        <v>951</v>
      </c>
      <c r="B3" s="76" t="s">
        <v>973</v>
      </c>
      <c r="C3" s="76">
        <v>400</v>
      </c>
      <c r="D3" s="76" t="s">
        <v>975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 t="shared" si="1"/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77">
        <f>-C3*E3+K3+F3</f>
        <v>463872.71000000089</v>
      </c>
      <c r="U3" s="82" t="s">
        <v>180</v>
      </c>
      <c r="V3" s="82" t="s">
        <v>968</v>
      </c>
      <c r="W3" s="82" t="s">
        <v>267</v>
      </c>
      <c r="X3" s="82" t="s">
        <v>8</v>
      </c>
      <c r="Y3" s="82" t="s">
        <v>5</v>
      </c>
      <c r="Z3" s="82" t="s">
        <v>483</v>
      </c>
      <c r="AA3" s="82" t="s">
        <v>183</v>
      </c>
      <c r="AB3" s="82" t="s">
        <v>969</v>
      </c>
      <c r="AC3" s="82" t="s">
        <v>1059</v>
      </c>
      <c r="AD3" s="82" t="s">
        <v>1060</v>
      </c>
      <c r="AE3" s="82" t="s">
        <v>1061</v>
      </c>
      <c r="AF3" s="82" t="s">
        <v>1062</v>
      </c>
      <c r="AG3" s="82" t="s">
        <v>970</v>
      </c>
    </row>
    <row r="4" spans="1:33" x14ac:dyDescent="0.25">
      <c r="A4" s="79" t="s">
        <v>951</v>
      </c>
      <c r="B4" s="79" t="s">
        <v>964</v>
      </c>
      <c r="C4" s="79">
        <v>3</v>
      </c>
      <c r="D4" s="79" t="s">
        <v>61</v>
      </c>
      <c r="E4" s="80">
        <v>80100</v>
      </c>
      <c r="F4" s="80">
        <v>240474</v>
      </c>
      <c r="G4" s="79">
        <v>5</v>
      </c>
      <c r="H4" s="79">
        <v>0</v>
      </c>
      <c r="I4" s="80">
        <f>F4*G4*($AB$2-H4)/(36500)</f>
        <v>724.71616438356159</v>
      </c>
      <c r="J4" s="79">
        <v>7.2499999999999995E-2</v>
      </c>
      <c r="K4" s="80">
        <f t="shared" si="1"/>
        <v>174.2175</v>
      </c>
      <c r="L4" s="79">
        <f>(E4*(1+J4/100)+I4/C4)/(1-J5/100)-(S4/C4)*(G4/365)*($AB$2/100)</f>
        <v>80457.976587820696</v>
      </c>
      <c r="M4" s="81"/>
      <c r="N4" s="79"/>
      <c r="O4" s="79"/>
      <c r="P4" s="81"/>
      <c r="Q4" s="81"/>
      <c r="R4" s="79"/>
      <c r="S4" s="80">
        <v>0</v>
      </c>
      <c r="U4" s="82" t="s">
        <v>951</v>
      </c>
      <c r="V4" s="82" t="s">
        <v>961</v>
      </c>
      <c r="W4" s="85">
        <v>80500000</v>
      </c>
      <c r="X4" s="82" t="s">
        <v>675</v>
      </c>
      <c r="Y4" s="85">
        <v>80500000</v>
      </c>
      <c r="Z4" s="86">
        <f>W4-Y4</f>
        <v>0</v>
      </c>
      <c r="AA4" s="82">
        <f>Z18+Z19</f>
        <v>15</v>
      </c>
      <c r="AB4" s="85">
        <f t="shared" ref="AB4:AB10" si="2">W4*AA4*$AB$2/(365*100)</f>
        <v>727808.21917808219</v>
      </c>
      <c r="AC4" s="85">
        <f>AB4</f>
        <v>727808.21917808219</v>
      </c>
      <c r="AD4" s="85">
        <v>0</v>
      </c>
      <c r="AE4" s="85">
        <f>Y4+AC4</f>
        <v>81227808.219178081</v>
      </c>
      <c r="AF4" s="85">
        <f>Z4+AD4</f>
        <v>0</v>
      </c>
      <c r="AG4" s="86">
        <f t="shared" ref="AG4:AG9" si="3">W4+AB4</f>
        <v>81227808.219178081</v>
      </c>
    </row>
    <row r="5" spans="1:33" x14ac:dyDescent="0.25">
      <c r="A5" s="79" t="s">
        <v>1056</v>
      </c>
      <c r="B5" s="79" t="s">
        <v>964</v>
      </c>
      <c r="C5" s="79">
        <v>3</v>
      </c>
      <c r="D5" s="79" t="s">
        <v>975</v>
      </c>
      <c r="E5" s="80">
        <v>81000</v>
      </c>
      <c r="F5" s="80">
        <v>243596</v>
      </c>
      <c r="G5" s="79">
        <v>0</v>
      </c>
      <c r="H5" s="79">
        <v>0</v>
      </c>
      <c r="I5" s="80"/>
      <c r="J5" s="79">
        <v>7.2499999999999995E-2</v>
      </c>
      <c r="K5" s="80">
        <f t="shared" si="1"/>
        <v>176.17500000000001</v>
      </c>
      <c r="L5" s="79">
        <v>2</v>
      </c>
      <c r="M5" s="81">
        <f>F5-F4</f>
        <v>3122</v>
      </c>
      <c r="N5" s="79">
        <v>1.5</v>
      </c>
      <c r="O5" s="79">
        <v>1.5</v>
      </c>
      <c r="P5" s="81">
        <f>M5*N5/C4</f>
        <v>1561</v>
      </c>
      <c r="Q5" s="81">
        <f>M5*O5/C4</f>
        <v>1561</v>
      </c>
      <c r="R5" s="79"/>
      <c r="S5" s="80">
        <v>0</v>
      </c>
      <c r="U5" s="82" t="s">
        <v>959</v>
      </c>
      <c r="V5" s="82" t="s">
        <v>961</v>
      </c>
      <c r="W5" s="85">
        <v>87000000</v>
      </c>
      <c r="X5" s="82" t="s">
        <v>1042</v>
      </c>
      <c r="Y5" s="85">
        <v>0</v>
      </c>
      <c r="Z5" s="86">
        <f t="shared" ref="Z5:Z8" si="4">W5-Y5</f>
        <v>87000000</v>
      </c>
      <c r="AA5" s="82">
        <f>AA4-4</f>
        <v>11</v>
      </c>
      <c r="AB5" s="85">
        <f t="shared" si="2"/>
        <v>576821.91780821921</v>
      </c>
      <c r="AC5" s="85">
        <v>0</v>
      </c>
      <c r="AD5" s="85">
        <f>AB5</f>
        <v>576821.91780821921</v>
      </c>
      <c r="AE5" s="85">
        <f t="shared" ref="AE5:AE11" si="5">Y5+AC5</f>
        <v>0</v>
      </c>
      <c r="AF5" s="85">
        <f t="shared" ref="AF5:AF11" si="6">Z5+AD5</f>
        <v>87576821.91780822</v>
      </c>
      <c r="AG5" s="86">
        <f t="shared" si="3"/>
        <v>87576821.91780822</v>
      </c>
    </row>
    <row r="6" spans="1:33" x14ac:dyDescent="0.25">
      <c r="A6" s="76" t="s">
        <v>951</v>
      </c>
      <c r="B6" s="76" t="s">
        <v>964</v>
      </c>
      <c r="C6" s="76">
        <v>497</v>
      </c>
      <c r="D6" s="76" t="s">
        <v>61</v>
      </c>
      <c r="E6" s="77">
        <v>80100</v>
      </c>
      <c r="F6" s="77">
        <v>39838611</v>
      </c>
      <c r="G6" s="76">
        <v>6</v>
      </c>
      <c r="H6" s="76">
        <v>0</v>
      </c>
      <c r="I6" s="77">
        <f>F6*G6*($AB$2-H6)/(36500)</f>
        <v>144073.88087671233</v>
      </c>
      <c r="J6" s="76">
        <v>7.2499999999999995E-2</v>
      </c>
      <c r="K6" s="77">
        <f t="shared" si="1"/>
        <v>28862.032500000001</v>
      </c>
      <c r="L6" s="76">
        <f>(E6*(1+J6/100)+I6/C6)/(1-J7/100)-(S6/C6)*(G6/365)*($AB$2/100)</f>
        <v>80506.326671095536</v>
      </c>
      <c r="M6" s="76"/>
      <c r="N6" s="76"/>
      <c r="O6" s="76"/>
      <c r="P6" s="76"/>
      <c r="Q6" s="76"/>
      <c r="R6" s="77">
        <v>81000</v>
      </c>
      <c r="S6" s="77">
        <v>0</v>
      </c>
      <c r="U6" s="82" t="s">
        <v>1056</v>
      </c>
      <c r="V6" s="82" t="s">
        <v>961</v>
      </c>
      <c r="W6" s="85">
        <v>1100000</v>
      </c>
      <c r="X6" s="82" t="s">
        <v>675</v>
      </c>
      <c r="Y6" s="85">
        <v>1100000</v>
      </c>
      <c r="Z6" s="86">
        <f t="shared" si="4"/>
        <v>0</v>
      </c>
      <c r="AA6" s="82">
        <f>AA5-1</f>
        <v>10</v>
      </c>
      <c r="AB6" s="85">
        <f t="shared" si="2"/>
        <v>6630.1369863013697</v>
      </c>
      <c r="AC6" s="85">
        <f>AB6</f>
        <v>6630.1369863013697</v>
      </c>
      <c r="AD6" s="85">
        <v>0</v>
      </c>
      <c r="AE6" s="85">
        <f t="shared" si="5"/>
        <v>1106630.1369863013</v>
      </c>
      <c r="AF6" s="85">
        <f t="shared" si="6"/>
        <v>0</v>
      </c>
      <c r="AG6" s="86">
        <f t="shared" si="3"/>
        <v>1106630.1369863013</v>
      </c>
    </row>
    <row r="7" spans="1:33" x14ac:dyDescent="0.25">
      <c r="A7" s="76" t="s">
        <v>1067</v>
      </c>
      <c r="B7" s="76" t="s">
        <v>964</v>
      </c>
      <c r="C7" s="76">
        <v>497</v>
      </c>
      <c r="D7" s="76" t="s">
        <v>975</v>
      </c>
      <c r="E7" s="77">
        <v>81400</v>
      </c>
      <c r="F7" s="77">
        <v>40426469</v>
      </c>
      <c r="G7" s="76">
        <v>0</v>
      </c>
      <c r="H7" s="76">
        <v>0</v>
      </c>
      <c r="I7" s="77">
        <f>F7*G7*($AB$2-H7)/(36500)</f>
        <v>0</v>
      </c>
      <c r="J7" s="76">
        <v>7.2499999999999995E-2</v>
      </c>
      <c r="K7" s="77">
        <f t="shared" si="1"/>
        <v>29330.455000000002</v>
      </c>
      <c r="L7" s="76">
        <v>9</v>
      </c>
      <c r="M7" s="78">
        <f>F7-F6</f>
        <v>587858</v>
      </c>
      <c r="N7" s="76">
        <v>248.5</v>
      </c>
      <c r="O7" s="76">
        <f>C6-N7</f>
        <v>248.5</v>
      </c>
      <c r="P7" s="78">
        <f>M7*N7/C6</f>
        <v>293929</v>
      </c>
      <c r="Q7" s="78">
        <f>M7*O7/C6</f>
        <v>293929</v>
      </c>
      <c r="R7" s="76"/>
      <c r="S7" s="77">
        <v>0</v>
      </c>
      <c r="U7" s="82" t="s">
        <v>1067</v>
      </c>
      <c r="V7" s="82" t="s">
        <v>961</v>
      </c>
      <c r="W7" s="85">
        <v>10000000</v>
      </c>
      <c r="X7" s="82" t="s">
        <v>1070</v>
      </c>
      <c r="Y7" s="85">
        <v>5000000</v>
      </c>
      <c r="Z7" s="86">
        <f t="shared" si="4"/>
        <v>5000000</v>
      </c>
      <c r="AA7" s="82">
        <f>AA6-1</f>
        <v>9</v>
      </c>
      <c r="AB7" s="85">
        <f t="shared" si="2"/>
        <v>54246.575342465752</v>
      </c>
      <c r="AC7" s="85">
        <f>AB7/2</f>
        <v>27123.287671232876</v>
      </c>
      <c r="AD7" s="85">
        <f>AB7-AC7</f>
        <v>27123.287671232876</v>
      </c>
      <c r="AE7" s="85">
        <f t="shared" si="5"/>
        <v>5027123.2876712326</v>
      </c>
      <c r="AF7" s="85">
        <f t="shared" si="6"/>
        <v>5027123.2876712326</v>
      </c>
      <c r="AG7" s="86">
        <f t="shared" si="3"/>
        <v>10054246.575342465</v>
      </c>
    </row>
    <row r="8" spans="1:33" x14ac:dyDescent="0.25">
      <c r="A8" s="79" t="s">
        <v>960</v>
      </c>
      <c r="B8" s="79" t="s">
        <v>980</v>
      </c>
      <c r="C8" s="79">
        <v>300</v>
      </c>
      <c r="D8" s="79" t="s">
        <v>61</v>
      </c>
      <c r="E8" s="80">
        <v>97219</v>
      </c>
      <c r="F8" s="80">
        <v>29203853</v>
      </c>
      <c r="G8" s="79">
        <v>3</v>
      </c>
      <c r="H8" s="79">
        <v>21</v>
      </c>
      <c r="I8" s="80">
        <f t="shared" si="0"/>
        <v>2400.3166849315066</v>
      </c>
      <c r="J8" s="79">
        <v>7.2499999999999995E-2</v>
      </c>
      <c r="K8" s="80">
        <f t="shared" si="1"/>
        <v>21145.1325</v>
      </c>
      <c r="L8" s="79">
        <f>(E8*(1+J8/100)+I8/C8)/(1-J9/100)-(S8/C8)*(G8/365)*($AB$2/100)</f>
        <v>97368.179199387931</v>
      </c>
      <c r="M8" s="79"/>
      <c r="N8" s="79"/>
      <c r="O8" s="79"/>
      <c r="P8" s="79"/>
      <c r="Q8" s="79"/>
      <c r="R8" s="80"/>
      <c r="S8" s="80">
        <f t="shared" ref="S8" si="7">C8*E8+K8-F8</f>
        <v>-17007.867499999702</v>
      </c>
      <c r="U8" s="82"/>
      <c r="V8" s="82"/>
      <c r="W8" s="85"/>
      <c r="X8" s="82"/>
      <c r="Y8" s="82">
        <v>0</v>
      </c>
      <c r="Z8" s="86">
        <f t="shared" si="4"/>
        <v>0</v>
      </c>
      <c r="AA8" s="82">
        <f>AA7-7</f>
        <v>2</v>
      </c>
      <c r="AB8" s="85">
        <f t="shared" si="2"/>
        <v>0</v>
      </c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959</v>
      </c>
      <c r="B9" s="79" t="s">
        <v>980</v>
      </c>
      <c r="C9" s="79">
        <v>300</v>
      </c>
      <c r="D9" s="79" t="s">
        <v>975</v>
      </c>
      <c r="E9" s="80">
        <v>98000</v>
      </c>
      <c r="F9" s="80">
        <v>29446055</v>
      </c>
      <c r="G9" s="79">
        <v>0</v>
      </c>
      <c r="H9" s="79">
        <v>0</v>
      </c>
      <c r="I9" s="80">
        <f t="shared" si="0"/>
        <v>0</v>
      </c>
      <c r="J9" s="79">
        <v>7.2499999999999995E-2</v>
      </c>
      <c r="K9" s="80">
        <f t="shared" si="1"/>
        <v>21315</v>
      </c>
      <c r="L9" s="79">
        <v>3</v>
      </c>
      <c r="M9" s="81">
        <f>F9-F8</f>
        <v>242202</v>
      </c>
      <c r="N9" s="79">
        <v>300</v>
      </c>
      <c r="O9" s="79">
        <f>C8-N9</f>
        <v>0</v>
      </c>
      <c r="P9" s="81">
        <f>M9*N9/C8</f>
        <v>242202</v>
      </c>
      <c r="Q9" s="81">
        <f>M9*O9/C8</f>
        <v>0</v>
      </c>
      <c r="R9" s="80"/>
      <c r="S9" s="80">
        <f t="shared" ref="S9" si="8">-C9*E9+K9+F9</f>
        <v>67370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960</v>
      </c>
      <c r="B10" s="76" t="s">
        <v>980</v>
      </c>
      <c r="C10" s="76">
        <v>100</v>
      </c>
      <c r="D10" s="76" t="s">
        <v>61</v>
      </c>
      <c r="E10" s="77">
        <v>97219</v>
      </c>
      <c r="F10" s="77">
        <v>9734617</v>
      </c>
      <c r="G10" s="76">
        <v>5</v>
      </c>
      <c r="H10" s="76">
        <v>21</v>
      </c>
      <c r="I10" s="77">
        <f>F10*G10*($AB$2-H10)/(36500)</f>
        <v>1333.5091780821917</v>
      </c>
      <c r="J10" s="76">
        <v>7.2499999999999995E-2</v>
      </c>
      <c r="K10" s="77">
        <f t="shared" si="1"/>
        <v>7048.3774999999996</v>
      </c>
      <c r="L10" s="76">
        <f>(E10*(1+J10/100)+I10/C10)/(1-J11/100)-(S10/C10)*(G10/365)*($AB$2/100)</f>
        <v>97373.585427558937</v>
      </c>
      <c r="M10" s="76"/>
      <c r="N10" s="76"/>
      <c r="O10" s="76"/>
      <c r="P10" s="78"/>
      <c r="Q10" s="78"/>
      <c r="R10" s="76"/>
      <c r="S10" s="77">
        <f t="shared" ref="S10" si="9">C10*E10+K10-F10</f>
        <v>-5668.6225000005215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1067</v>
      </c>
      <c r="B11" s="76" t="s">
        <v>980</v>
      </c>
      <c r="C11" s="76">
        <v>100</v>
      </c>
      <c r="D11" s="76" t="s">
        <v>975</v>
      </c>
      <c r="E11" s="77">
        <v>99500</v>
      </c>
      <c r="F11" s="77">
        <v>9976490</v>
      </c>
      <c r="G11" s="76">
        <v>0</v>
      </c>
      <c r="H11" s="76"/>
      <c r="I11" s="77"/>
      <c r="J11" s="76">
        <v>7.2499999999999995E-2</v>
      </c>
      <c r="K11" s="77">
        <f t="shared" si="1"/>
        <v>7213.75</v>
      </c>
      <c r="L11" s="76">
        <v>4</v>
      </c>
      <c r="M11" s="78">
        <f>F11-F10</f>
        <v>241873</v>
      </c>
      <c r="N11" s="76">
        <v>50</v>
      </c>
      <c r="O11" s="76">
        <v>50</v>
      </c>
      <c r="P11" s="78">
        <f>M11*N11/C10</f>
        <v>120936.5</v>
      </c>
      <c r="Q11" s="78">
        <f>M11*O11/C10</f>
        <v>120936.5</v>
      </c>
      <c r="R11" s="76"/>
      <c r="S11" s="77">
        <f t="shared" ref="S11" si="10">-C11*E11+K11+F11</f>
        <v>33703.75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959</v>
      </c>
      <c r="B12" s="79" t="s">
        <v>1043</v>
      </c>
      <c r="C12" s="79">
        <v>200</v>
      </c>
      <c r="D12" s="79" t="s">
        <v>61</v>
      </c>
      <c r="E12" s="80">
        <v>70000</v>
      </c>
      <c r="F12" s="80">
        <v>14010149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ref="K12:K35" si="11">C12*E12*J12/100</f>
        <v>10149.999999999998</v>
      </c>
      <c r="L12" s="79">
        <f>(E12*(1+J12/100)+I12/C12)/(1-J13/100)-(S12/C12)*(G12/365)*($AB$2/100)</f>
        <v>70101.573640889648</v>
      </c>
      <c r="M12" s="79"/>
      <c r="N12" s="79"/>
      <c r="O12" s="79"/>
      <c r="P12" s="79"/>
      <c r="Q12" s="79"/>
      <c r="R12" s="79"/>
      <c r="S12" s="80">
        <v>0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1365506.8493150682</v>
      </c>
      <c r="AC12" s="86">
        <f>SUM(AC4:AC10)</f>
        <v>761561.64383561641</v>
      </c>
      <c r="AD12" s="86">
        <f>SUM(AD4:AD10)</f>
        <v>603945.20547945204</v>
      </c>
      <c r="AE12" s="86">
        <f>SUM(AE4:AE11)</f>
        <v>87361561.643835619</v>
      </c>
      <c r="AF12" s="86">
        <f>SUM(AF4:AF11)</f>
        <v>92603945.205479458</v>
      </c>
      <c r="AG12" s="86">
        <f>SUM(AG4:AG10)</f>
        <v>179965506.84931511</v>
      </c>
    </row>
    <row r="13" spans="1:33" x14ac:dyDescent="0.25">
      <c r="A13" s="79" t="s">
        <v>959</v>
      </c>
      <c r="B13" s="79" t="s">
        <v>1043</v>
      </c>
      <c r="C13" s="79">
        <v>200</v>
      </c>
      <c r="D13" s="79" t="s">
        <v>975</v>
      </c>
      <c r="E13" s="80">
        <v>70488</v>
      </c>
      <c r="F13" s="80">
        <v>14087559</v>
      </c>
      <c r="G13" s="79">
        <v>0</v>
      </c>
      <c r="H13" s="79">
        <v>0</v>
      </c>
      <c r="I13" s="80">
        <f t="shared" si="0"/>
        <v>0</v>
      </c>
      <c r="J13" s="79">
        <v>7.2499999999999995E-2</v>
      </c>
      <c r="K13" s="80">
        <f t="shared" si="11"/>
        <v>10220.759999999998</v>
      </c>
      <c r="L13" s="79">
        <v>5</v>
      </c>
      <c r="M13" s="81">
        <f>F13-F12</f>
        <v>77410</v>
      </c>
      <c r="N13" s="79">
        <v>100</v>
      </c>
      <c r="O13" s="79">
        <f>C12-N13</f>
        <v>100</v>
      </c>
      <c r="P13" s="81">
        <f>M13*N13/C12</f>
        <v>38705</v>
      </c>
      <c r="Q13" s="81">
        <f>M13*O13/C12</f>
        <v>38705</v>
      </c>
      <c r="R13" s="79"/>
      <c r="S13" s="80">
        <v>0</v>
      </c>
    </row>
    <row r="14" spans="1:33" x14ac:dyDescent="0.25">
      <c r="A14" s="76" t="s">
        <v>959</v>
      </c>
      <c r="B14" s="76" t="s">
        <v>990</v>
      </c>
      <c r="C14" s="76">
        <v>200</v>
      </c>
      <c r="D14" s="76" t="s">
        <v>61</v>
      </c>
      <c r="E14" s="77">
        <v>83000</v>
      </c>
      <c r="F14" s="77">
        <v>17464390</v>
      </c>
      <c r="G14" s="76">
        <v>0</v>
      </c>
      <c r="H14" s="76">
        <v>15</v>
      </c>
      <c r="I14" s="77">
        <f t="shared" si="0"/>
        <v>0</v>
      </c>
      <c r="J14" s="76">
        <v>7.2499999999999995E-2</v>
      </c>
      <c r="K14" s="77">
        <f t="shared" si="11"/>
        <v>12035</v>
      </c>
      <c r="L14" s="76">
        <f>(E14*(1+J14/100)+I14/C14)/(1-J15/100)-(S14/C14)*(G14/365)*($AB$2/100)</f>
        <v>83120.437317054864</v>
      </c>
      <c r="M14" s="76"/>
      <c r="N14" s="76"/>
      <c r="O14" s="76"/>
      <c r="P14" s="76"/>
      <c r="Q14" s="76"/>
      <c r="R14" s="76"/>
      <c r="S14" s="77">
        <f t="shared" ref="S14" si="12">C14*E14+K14-F14</f>
        <v>-852355</v>
      </c>
      <c r="Z14" t="s">
        <v>755</v>
      </c>
      <c r="AA14" t="s">
        <v>452</v>
      </c>
    </row>
    <row r="15" spans="1:33" x14ac:dyDescent="0.25">
      <c r="A15" s="76" t="s">
        <v>959</v>
      </c>
      <c r="B15" s="76" t="s">
        <v>990</v>
      </c>
      <c r="C15" s="76">
        <v>200</v>
      </c>
      <c r="D15" s="76" t="s">
        <v>975</v>
      </c>
      <c r="E15" s="77">
        <v>83399</v>
      </c>
      <c r="F15" s="77">
        <v>17520183</v>
      </c>
      <c r="G15" s="76">
        <v>0</v>
      </c>
      <c r="H15" s="76">
        <v>15</v>
      </c>
      <c r="I15" s="77">
        <f t="shared" si="0"/>
        <v>0</v>
      </c>
      <c r="J15" s="76">
        <v>7.2499999999999995E-2</v>
      </c>
      <c r="K15" s="77">
        <f t="shared" si="11"/>
        <v>12092.855</v>
      </c>
      <c r="L15" s="76">
        <v>6</v>
      </c>
      <c r="M15" s="78">
        <f>F15-F14</f>
        <v>55793</v>
      </c>
      <c r="N15" s="76">
        <v>100</v>
      </c>
      <c r="O15" s="76">
        <f>C14-N15</f>
        <v>100</v>
      </c>
      <c r="P15" s="78">
        <f>M15*N15/C14</f>
        <v>27896.5</v>
      </c>
      <c r="Q15" s="78">
        <f>M15*O15/C14</f>
        <v>27896.5</v>
      </c>
      <c r="R15" s="76"/>
      <c r="S15" s="77">
        <f t="shared" ref="S15" si="13">-C15*E15+K15+F15</f>
        <v>852475.85500000045</v>
      </c>
      <c r="Y15" t="s">
        <v>1063</v>
      </c>
      <c r="Z15" s="7">
        <f>Z12+Q70</f>
        <v>94401165.5</v>
      </c>
      <c r="AA15" s="7">
        <f>Y12+P70</f>
        <v>90402449.5</v>
      </c>
    </row>
    <row r="16" spans="1:33" x14ac:dyDescent="0.25">
      <c r="A16" s="79" t="s">
        <v>959</v>
      </c>
      <c r="B16" s="79" t="s">
        <v>973</v>
      </c>
      <c r="C16" s="79">
        <v>100</v>
      </c>
      <c r="D16" s="79" t="s">
        <v>61</v>
      </c>
      <c r="E16" s="80">
        <v>97328</v>
      </c>
      <c r="F16" s="80">
        <v>9878211</v>
      </c>
      <c r="G16" s="79">
        <v>2</v>
      </c>
      <c r="H16" s="79">
        <v>21</v>
      </c>
      <c r="I16" s="80">
        <f>F16*G16*($AB$2-H16)/(36500)</f>
        <v>541.27183561643835</v>
      </c>
      <c r="J16" s="79">
        <v>7.2499999999999995E-2</v>
      </c>
      <c r="K16" s="80">
        <f t="shared" ref="K16:K21" si="14">C16*E16*J16/100</f>
        <v>7056.28</v>
      </c>
      <c r="L16" s="79">
        <f>(E16*(1+J16/100)+I16/C16)/(1-J17/100)-(S16/C16)*(G16/365)*($AB$2/100)</f>
        <v>97476.312473437632</v>
      </c>
      <c r="M16" s="81"/>
      <c r="N16" s="79"/>
      <c r="O16" s="79"/>
      <c r="P16" s="81"/>
      <c r="Q16" s="81"/>
      <c r="R16" s="79"/>
      <c r="S16" s="80">
        <f t="shared" ref="S16" si="15">C16*E16+K16-F16</f>
        <v>-138354.72000000067</v>
      </c>
      <c r="Y16" t="s">
        <v>1064</v>
      </c>
      <c r="Z16" s="7">
        <f>Z15-AF12</f>
        <v>1797220.294520542</v>
      </c>
      <c r="AA16" s="7">
        <f>AA15-AE12</f>
        <v>3040887.8561643809</v>
      </c>
    </row>
    <row r="17" spans="1:30" x14ac:dyDescent="0.25">
      <c r="A17" s="79" t="s">
        <v>1067</v>
      </c>
      <c r="B17" s="79" t="s">
        <v>973</v>
      </c>
      <c r="C17" s="79">
        <v>100</v>
      </c>
      <c r="D17" s="79" t="s">
        <v>975</v>
      </c>
      <c r="E17" s="80">
        <v>99000</v>
      </c>
      <c r="F17" s="80">
        <v>10042365</v>
      </c>
      <c r="G17" s="79"/>
      <c r="H17" s="79"/>
      <c r="I17" s="80"/>
      <c r="J17" s="79">
        <v>7.2499999999999995E-2</v>
      </c>
      <c r="K17" s="80">
        <f t="shared" si="14"/>
        <v>7177.5</v>
      </c>
      <c r="L17" s="79">
        <v>7</v>
      </c>
      <c r="M17" s="81">
        <f>F17-F16</f>
        <v>164154</v>
      </c>
      <c r="N17" s="79">
        <v>50</v>
      </c>
      <c r="O17" s="79">
        <v>50</v>
      </c>
      <c r="P17" s="81">
        <f t="shared" ref="P17" si="16">M17*N17/C16</f>
        <v>82077</v>
      </c>
      <c r="Q17" s="81">
        <f t="shared" ref="Q17" si="17">M17*O17/C16</f>
        <v>82077</v>
      </c>
      <c r="R17" s="79"/>
      <c r="S17" s="80">
        <f t="shared" ref="S17" si="18">-C17*E17+K17+F17</f>
        <v>149542.5</v>
      </c>
    </row>
    <row r="18" spans="1:30" x14ac:dyDescent="0.25">
      <c r="A18" s="76" t="s">
        <v>959</v>
      </c>
      <c r="B18" s="76" t="s">
        <v>973</v>
      </c>
      <c r="C18" s="76">
        <v>100</v>
      </c>
      <c r="D18" s="76" t="s">
        <v>61</v>
      </c>
      <c r="E18" s="77">
        <v>97328</v>
      </c>
      <c r="F18" s="77">
        <v>9878211</v>
      </c>
      <c r="G18" s="76">
        <v>2</v>
      </c>
      <c r="H18" s="76">
        <v>21</v>
      </c>
      <c r="I18" s="77">
        <f>F18*G18*($AB$2-H18)/(36500)</f>
        <v>541.27183561643835</v>
      </c>
      <c r="J18" s="76">
        <v>7.2499999999999995E-2</v>
      </c>
      <c r="K18" s="77">
        <f t="shared" si="14"/>
        <v>7056.28</v>
      </c>
      <c r="L18" s="76">
        <f>(E18*(1+J18/100)+I18/C18)/(1-J19/100)-(S18/C18)*(G18/365)*($AB$2/100)</f>
        <v>97476.312473437632</v>
      </c>
      <c r="M18" s="78"/>
      <c r="N18" s="76"/>
      <c r="O18" s="76"/>
      <c r="P18" s="78"/>
      <c r="Q18" s="78"/>
      <c r="R18" s="76"/>
      <c r="S18" s="77">
        <f t="shared" ref="S18" si="19">C18*E18+K18-F18</f>
        <v>-138354.72000000067</v>
      </c>
      <c r="Y18" t="s">
        <v>1096</v>
      </c>
      <c r="Z18">
        <v>8</v>
      </c>
    </row>
    <row r="19" spans="1:30" x14ac:dyDescent="0.25">
      <c r="A19" s="76" t="s">
        <v>1067</v>
      </c>
      <c r="B19" s="76" t="s">
        <v>973</v>
      </c>
      <c r="C19" s="76">
        <v>100</v>
      </c>
      <c r="D19" s="76" t="s">
        <v>975</v>
      </c>
      <c r="E19" s="77">
        <v>99998</v>
      </c>
      <c r="F19" s="77">
        <v>10142183</v>
      </c>
      <c r="G19" s="76"/>
      <c r="H19" s="76"/>
      <c r="I19" s="77"/>
      <c r="J19" s="76">
        <v>7.2499999999999995E-2</v>
      </c>
      <c r="K19" s="77">
        <f t="shared" si="14"/>
        <v>7249.8549999999996</v>
      </c>
      <c r="L19" s="76">
        <v>8</v>
      </c>
      <c r="M19" s="78">
        <f t="shared" ref="M19" si="20">F19-F18</f>
        <v>263972</v>
      </c>
      <c r="N19" s="76">
        <v>50</v>
      </c>
      <c r="O19" s="76">
        <v>50</v>
      </c>
      <c r="P19" s="78">
        <f t="shared" ref="P19" si="21">M19*N19/C18</f>
        <v>131986</v>
      </c>
      <c r="Q19" s="78">
        <f t="shared" ref="Q19" si="22">M19*O19/C18</f>
        <v>131986</v>
      </c>
      <c r="R19" s="76"/>
      <c r="S19" s="77">
        <f t="shared" ref="S19" si="23">-C19*E19+K19+F19</f>
        <v>149632.85500000045</v>
      </c>
      <c r="Y19" t="s">
        <v>1097</v>
      </c>
      <c r="Z19">
        <v>7</v>
      </c>
    </row>
    <row r="20" spans="1:30" x14ac:dyDescent="0.25">
      <c r="A20" s="79" t="s">
        <v>959</v>
      </c>
      <c r="B20" s="79" t="s">
        <v>973</v>
      </c>
      <c r="C20" s="79">
        <v>200</v>
      </c>
      <c r="D20" s="79" t="s">
        <v>61</v>
      </c>
      <c r="E20" s="80">
        <v>97328</v>
      </c>
      <c r="F20" s="80">
        <v>19756422</v>
      </c>
      <c r="G20" s="79">
        <v>2</v>
      </c>
      <c r="H20" s="79">
        <v>21</v>
      </c>
      <c r="I20" s="80">
        <f>F20*G20*($AB$2-H20)/(36500)</f>
        <v>1082.5436712328767</v>
      </c>
      <c r="J20" s="79">
        <v>7.2499999999999995E-2</v>
      </c>
      <c r="K20" s="80">
        <f t="shared" si="14"/>
        <v>14112.56</v>
      </c>
      <c r="L20" s="79">
        <f>(E20*(1+J20/100)+I20/C20)/(1-J21/100)-(S20/C20)*(G20/365)*($AB$2/100)</f>
        <v>97476.312473437632</v>
      </c>
      <c r="M20" s="81"/>
      <c r="N20" s="79"/>
      <c r="O20" s="79"/>
      <c r="P20" s="81"/>
      <c r="Q20" s="81"/>
      <c r="R20" s="79"/>
      <c r="S20" s="80">
        <f t="shared" ref="S20" si="24">C20*E20+K20-F20</f>
        <v>-276709.44000000134</v>
      </c>
    </row>
    <row r="21" spans="1:30" x14ac:dyDescent="0.25">
      <c r="A21" s="79" t="s">
        <v>1067</v>
      </c>
      <c r="B21" s="79" t="s">
        <v>973</v>
      </c>
      <c r="C21" s="79">
        <v>200</v>
      </c>
      <c r="D21" s="79" t="s">
        <v>975</v>
      </c>
      <c r="E21" s="80">
        <v>99000</v>
      </c>
      <c r="F21" s="80">
        <v>20084731</v>
      </c>
      <c r="G21" s="79"/>
      <c r="H21" s="79"/>
      <c r="I21" s="80"/>
      <c r="J21" s="79">
        <v>7.2499999999999995E-2</v>
      </c>
      <c r="K21" s="80">
        <f t="shared" si="14"/>
        <v>14355</v>
      </c>
      <c r="L21" s="79">
        <v>9</v>
      </c>
      <c r="M21" s="81">
        <f t="shared" ref="M21" si="25">F21-F20</f>
        <v>328309</v>
      </c>
      <c r="N21" s="79">
        <v>100</v>
      </c>
      <c r="O21" s="79">
        <v>100</v>
      </c>
      <c r="P21" s="81">
        <f t="shared" ref="P21" si="26">M21*N21/C20</f>
        <v>164154.5</v>
      </c>
      <c r="Q21" s="81">
        <f t="shared" ref="Q21" si="27">M21*O21/C20</f>
        <v>164154.5</v>
      </c>
      <c r="R21" s="79"/>
      <c r="S21" s="80">
        <f t="shared" ref="S21" si="28">-C21*E21+K21+F21</f>
        <v>299086</v>
      </c>
    </row>
    <row r="22" spans="1:30" x14ac:dyDescent="0.25">
      <c r="A22" s="76" t="s">
        <v>959</v>
      </c>
      <c r="B22" s="76" t="s">
        <v>986</v>
      </c>
      <c r="C22" s="76">
        <v>100</v>
      </c>
      <c r="D22" s="76" t="s">
        <v>61</v>
      </c>
      <c r="E22" s="77">
        <v>97875</v>
      </c>
      <c r="F22" s="77">
        <v>10210616</v>
      </c>
      <c r="G22" s="76">
        <v>2</v>
      </c>
      <c r="H22" s="76">
        <v>21</v>
      </c>
      <c r="I22" s="77">
        <f>F22*G22*($AB$2-H22)/(36500)</f>
        <v>559.48580821917813</v>
      </c>
      <c r="J22" s="76">
        <v>7.2499999999999995E-2</v>
      </c>
      <c r="K22" s="77">
        <f t="shared" ref="K22:K23" si="29">C22*E22*J22/100</f>
        <v>7095.9375</v>
      </c>
      <c r="L22" s="76">
        <f>(E22*(1+J22/100)+I22/C22)/(1-J23/100)-(S22/C22)*(G22/365)*($AB$2/100)</f>
        <v>98027.635669411015</v>
      </c>
      <c r="M22" s="78"/>
      <c r="N22" s="76"/>
      <c r="O22" s="76"/>
      <c r="P22" s="78"/>
      <c r="Q22" s="78"/>
      <c r="R22" s="76"/>
      <c r="S22" s="77">
        <f t="shared" ref="S22" si="30">C22*E22+K22-F22</f>
        <v>-416020.0625</v>
      </c>
      <c r="W22" s="11" t="s">
        <v>983</v>
      </c>
      <c r="X22" s="11" t="s">
        <v>182</v>
      </c>
    </row>
    <row r="23" spans="1:30" x14ac:dyDescent="0.25">
      <c r="A23" s="76" t="s">
        <v>1067</v>
      </c>
      <c r="B23" s="76" t="s">
        <v>986</v>
      </c>
      <c r="C23" s="76">
        <v>100</v>
      </c>
      <c r="D23" s="76" t="s">
        <v>975</v>
      </c>
      <c r="E23" s="77">
        <v>99999</v>
      </c>
      <c r="F23" s="77">
        <v>10420633</v>
      </c>
      <c r="G23" s="76"/>
      <c r="H23" s="76"/>
      <c r="I23" s="77"/>
      <c r="J23" s="76">
        <v>7.2499999999999995E-2</v>
      </c>
      <c r="K23" s="77">
        <f t="shared" si="29"/>
        <v>7249.9274999999998</v>
      </c>
      <c r="L23" s="76">
        <v>10</v>
      </c>
      <c r="M23" s="78">
        <f>F23-F22</f>
        <v>210017</v>
      </c>
      <c r="N23" s="76">
        <v>50</v>
      </c>
      <c r="O23" s="76">
        <v>50</v>
      </c>
      <c r="P23" s="78">
        <f>M23*N23/C22</f>
        <v>105008.5</v>
      </c>
      <c r="Q23" s="78">
        <f>M23*O23/C22</f>
        <v>105008.5</v>
      </c>
      <c r="R23" s="76"/>
      <c r="S23" s="77">
        <f t="shared" ref="S23" si="31">-C23*E23+K23+F23</f>
        <v>427982.92750000022</v>
      </c>
      <c r="W23" s="11" t="s">
        <v>984</v>
      </c>
      <c r="X23" s="3">
        <v>184803608</v>
      </c>
      <c r="AD23" t="s">
        <v>25</v>
      </c>
    </row>
    <row r="24" spans="1:30" x14ac:dyDescent="0.25">
      <c r="A24" s="79" t="s">
        <v>959</v>
      </c>
      <c r="B24" s="79" t="s">
        <v>973</v>
      </c>
      <c r="C24" s="79">
        <v>300</v>
      </c>
      <c r="D24" s="79" t="s">
        <v>61</v>
      </c>
      <c r="E24" s="80">
        <v>97328</v>
      </c>
      <c r="F24" s="80">
        <v>29634633</v>
      </c>
      <c r="G24" s="79">
        <v>2</v>
      </c>
      <c r="H24" s="79">
        <v>21</v>
      </c>
      <c r="I24" s="80">
        <f>F24*G24*($AB$2-H24)/(36500)</f>
        <v>1623.8155068493152</v>
      </c>
      <c r="J24" s="79">
        <v>7.2499999999999995E-2</v>
      </c>
      <c r="K24" s="80">
        <f t="shared" ref="K24:K25" si="32">C24*E24*J24/100</f>
        <v>21168.84</v>
      </c>
      <c r="L24" s="79">
        <f>(E24*(1+J24/100)+I24/C24)/(1-J25/100)-(S24/C24)*(G24/365)*($AB$2/100)</f>
        <v>97476.312473437632</v>
      </c>
      <c r="M24" s="81"/>
      <c r="N24" s="79"/>
      <c r="O24" s="79"/>
      <c r="P24" s="81"/>
      <c r="Q24" s="81"/>
      <c r="R24" s="79"/>
      <c r="S24" s="80">
        <f t="shared" ref="S24" si="33">C24*E24+K24-F24</f>
        <v>-415064.16000000015</v>
      </c>
      <c r="W24" s="11"/>
      <c r="X24" s="3">
        <v>0</v>
      </c>
      <c r="AA24" s="7"/>
    </row>
    <row r="25" spans="1:30" x14ac:dyDescent="0.25">
      <c r="A25" s="79" t="s">
        <v>1067</v>
      </c>
      <c r="B25" s="79" t="s">
        <v>973</v>
      </c>
      <c r="C25" s="79">
        <v>300</v>
      </c>
      <c r="D25" s="79" t="s">
        <v>975</v>
      </c>
      <c r="E25" s="80">
        <v>99000</v>
      </c>
      <c r="F25" s="80">
        <v>30127096</v>
      </c>
      <c r="G25" s="79">
        <v>0</v>
      </c>
      <c r="H25" s="79"/>
      <c r="I25" s="80"/>
      <c r="J25" s="79">
        <v>7.2499999999999995E-2</v>
      </c>
      <c r="K25" s="80">
        <f t="shared" si="32"/>
        <v>21532.5</v>
      </c>
      <c r="L25" s="79">
        <v>11</v>
      </c>
      <c r="M25" s="81">
        <f>F25-F24</f>
        <v>492463</v>
      </c>
      <c r="N25" s="79">
        <v>150</v>
      </c>
      <c r="O25" s="79">
        <v>150</v>
      </c>
      <c r="P25" s="81">
        <f>M25*N25/C24</f>
        <v>246231.5</v>
      </c>
      <c r="Q25" s="81">
        <f>M25*O25/C24</f>
        <v>246231.5</v>
      </c>
      <c r="R25" s="79"/>
      <c r="S25" s="80">
        <f t="shared" ref="S25" si="34">-C25*E25+K25+F25</f>
        <v>448628.5</v>
      </c>
      <c r="W25" s="11"/>
      <c r="X25" s="3">
        <v>0</v>
      </c>
    </row>
    <row r="26" spans="1:30" x14ac:dyDescent="0.25">
      <c r="A26" s="76" t="s">
        <v>959</v>
      </c>
      <c r="B26" s="76" t="s">
        <v>986</v>
      </c>
      <c r="C26" s="76">
        <v>200</v>
      </c>
      <c r="D26" s="76" t="s">
        <v>61</v>
      </c>
      <c r="E26" s="77">
        <v>97875</v>
      </c>
      <c r="F26" s="77">
        <v>20421232</v>
      </c>
      <c r="G26" s="76">
        <v>2</v>
      </c>
      <c r="H26" s="76">
        <v>21</v>
      </c>
      <c r="I26" s="77">
        <f>F26*G26*($AB$2-H26)/(36500)</f>
        <v>1118.9716164383563</v>
      </c>
      <c r="J26" s="76">
        <v>7.2499999999999995E-2</v>
      </c>
      <c r="K26" s="77">
        <f>C26*E26*J26/100</f>
        <v>14191.875</v>
      </c>
      <c r="L26" s="76">
        <f>(E26*(1+J26/100)+I26/C26)/(1-J27/100)-(S26/C26)*(G26/365)*($AB$2/100)</f>
        <v>98027.635669411015</v>
      </c>
      <c r="M26" s="78"/>
      <c r="N26" s="76"/>
      <c r="O26" s="76"/>
      <c r="P26" s="78"/>
      <c r="Q26" s="78"/>
      <c r="R26" s="76"/>
      <c r="S26" s="77">
        <f t="shared" ref="S26" si="35">C26*E26+K26-F26</f>
        <v>-832040.125</v>
      </c>
      <c r="W26" s="11"/>
      <c r="X26" s="3">
        <v>0</v>
      </c>
    </row>
    <row r="27" spans="1:30" x14ac:dyDescent="0.25">
      <c r="A27" s="76" t="s">
        <v>1067</v>
      </c>
      <c r="B27" s="76" t="s">
        <v>986</v>
      </c>
      <c r="C27" s="76">
        <v>200</v>
      </c>
      <c r="D27" s="76" t="s">
        <v>975</v>
      </c>
      <c r="E27" s="77">
        <v>99999</v>
      </c>
      <c r="F27" s="77">
        <v>20841265</v>
      </c>
      <c r="G27" s="76"/>
      <c r="H27" s="76"/>
      <c r="I27" s="77"/>
      <c r="J27" s="76">
        <v>7.2499999999999995E-2</v>
      </c>
      <c r="K27" s="77">
        <f>C27*E27*J27/100</f>
        <v>14499.855</v>
      </c>
      <c r="L27" s="76">
        <v>12</v>
      </c>
      <c r="M27" s="78">
        <f>F27-F26</f>
        <v>420033</v>
      </c>
      <c r="N27" s="76">
        <v>100</v>
      </c>
      <c r="O27" s="76">
        <v>100</v>
      </c>
      <c r="P27" s="78">
        <f>M27*N27/C26</f>
        <v>210016.5</v>
      </c>
      <c r="Q27" s="78">
        <f>M27*O27/C26</f>
        <v>210016.5</v>
      </c>
      <c r="R27" s="76"/>
      <c r="S27" s="77">
        <f t="shared" ref="S27" si="36">-C27*E27+K27+F27</f>
        <v>855964.85500000045</v>
      </c>
      <c r="W27" s="11"/>
      <c r="X27" s="3">
        <v>0</v>
      </c>
      <c r="AA27" t="s">
        <v>25</v>
      </c>
    </row>
    <row r="28" spans="1:30" x14ac:dyDescent="0.25">
      <c r="A28" s="90" t="s">
        <v>959</v>
      </c>
      <c r="B28" s="90" t="s">
        <v>986</v>
      </c>
      <c r="C28" s="90">
        <v>100</v>
      </c>
      <c r="D28" s="90" t="s">
        <v>61</v>
      </c>
      <c r="E28" s="91">
        <v>97875</v>
      </c>
      <c r="F28" s="91">
        <v>10210616</v>
      </c>
      <c r="G28" s="90">
        <v>8</v>
      </c>
      <c r="H28" s="90">
        <v>21</v>
      </c>
      <c r="I28" s="91">
        <f>F28*G28*($AB$2-H28)/(36500)</f>
        <v>2237.9432328767125</v>
      </c>
      <c r="J28" s="90">
        <v>7.2499999999999995E-2</v>
      </c>
      <c r="K28" s="91">
        <f>C28*E28*J28/100</f>
        <v>7095.9375</v>
      </c>
      <c r="L28" s="90">
        <f>(E28*(1+J28/100)+I28/C28)/(1-J29/100)-(S28/C28)*(G28/365)*($AB$2/100)</f>
        <v>98059.477530412303</v>
      </c>
      <c r="M28" s="90"/>
      <c r="N28" s="90"/>
      <c r="O28" s="90"/>
      <c r="P28" s="90"/>
      <c r="Q28" s="90"/>
      <c r="R28" s="91"/>
      <c r="S28" s="91">
        <f t="shared" ref="S28" si="37">C28*E28+K28-F28</f>
        <v>-416020.0625</v>
      </c>
      <c r="W28" s="11"/>
      <c r="X28" s="3">
        <v>0</v>
      </c>
    </row>
    <row r="29" spans="1:30" x14ac:dyDescent="0.25">
      <c r="A29" s="90" t="s">
        <v>1106</v>
      </c>
      <c r="B29" s="90" t="s">
        <v>986</v>
      </c>
      <c r="C29" s="90">
        <v>100</v>
      </c>
      <c r="D29" s="90" t="s">
        <v>975</v>
      </c>
      <c r="E29" s="91">
        <v>99999</v>
      </c>
      <c r="F29" s="91">
        <v>10456533</v>
      </c>
      <c r="G29" s="90"/>
      <c r="H29" s="90"/>
      <c r="I29" s="91">
        <f>F29*G29*($AB$2-H29)/(36500)</f>
        <v>0</v>
      </c>
      <c r="J29" s="90">
        <v>7.2499999999999995E-2</v>
      </c>
      <c r="K29" s="91">
        <f t="shared" ref="K29" si="38">C29*E29*J29/100</f>
        <v>7249.9274999999998</v>
      </c>
      <c r="L29" s="90">
        <v>13</v>
      </c>
      <c r="M29" s="91">
        <f>F29-F28</f>
        <v>245917</v>
      </c>
      <c r="N29" s="90">
        <v>50</v>
      </c>
      <c r="O29" s="90">
        <v>50</v>
      </c>
      <c r="P29" s="91">
        <f t="shared" ref="P29" si="39">M29*N29/C28</f>
        <v>122958.5</v>
      </c>
      <c r="Q29" s="91">
        <f t="shared" ref="Q29" si="40">M29*O29/C28</f>
        <v>122958.5</v>
      </c>
      <c r="R29" s="90"/>
      <c r="S29" s="91">
        <f t="shared" ref="S29" si="41">-C29*E29+K29+F29</f>
        <v>463882.92750000022</v>
      </c>
      <c r="W29" s="11"/>
      <c r="X29" s="3"/>
      <c r="Z29" s="7">
        <f>X32-W12</f>
        <v>6203608</v>
      </c>
    </row>
    <row r="30" spans="1:30" x14ac:dyDescent="0.25">
      <c r="A30" s="79" t="s">
        <v>1056</v>
      </c>
      <c r="B30" s="79" t="s">
        <v>1043</v>
      </c>
      <c r="C30" s="79">
        <v>143</v>
      </c>
      <c r="D30" s="79" t="s">
        <v>61</v>
      </c>
      <c r="E30" s="80">
        <v>70003</v>
      </c>
      <c r="F30" s="80">
        <v>10017729</v>
      </c>
      <c r="G30" s="79">
        <v>0</v>
      </c>
      <c r="H30" s="79">
        <v>0</v>
      </c>
      <c r="I30" s="80">
        <f t="shared" si="0"/>
        <v>0</v>
      </c>
      <c r="J30" s="79">
        <v>7.2499999999999995E-2</v>
      </c>
      <c r="K30" s="80">
        <f t="shared" si="11"/>
        <v>7257.5610249999991</v>
      </c>
      <c r="L30" s="79">
        <f>(E30*(1+J30/100)+I30/C30)/(1-J31/100)-(S30/C30)*(G30/365)*($AB$2/100)</f>
        <v>70104.577994045685</v>
      </c>
      <c r="M30" s="81"/>
      <c r="N30" s="79"/>
      <c r="O30" s="79"/>
      <c r="P30" s="81"/>
      <c r="Q30" s="81"/>
      <c r="R30" s="79"/>
      <c r="S30" s="80">
        <v>0</v>
      </c>
      <c r="W30" s="11"/>
      <c r="X30" s="3"/>
      <c r="Z30" s="7">
        <f>Z29-AB12</f>
        <v>4838101.1506849322</v>
      </c>
    </row>
    <row r="31" spans="1:30" x14ac:dyDescent="0.25">
      <c r="A31" s="79" t="s">
        <v>1056</v>
      </c>
      <c r="B31" s="79" t="s">
        <v>1043</v>
      </c>
      <c r="C31" s="79">
        <v>143</v>
      </c>
      <c r="D31" s="79" t="s">
        <v>975</v>
      </c>
      <c r="E31" s="80">
        <v>70500</v>
      </c>
      <c r="F31" s="80">
        <v>10074191</v>
      </c>
      <c r="G31" s="79">
        <v>0</v>
      </c>
      <c r="H31" s="79">
        <v>0</v>
      </c>
      <c r="I31" s="80">
        <f t="shared" si="0"/>
        <v>0</v>
      </c>
      <c r="J31" s="79">
        <v>7.2499999999999995E-2</v>
      </c>
      <c r="K31" s="80">
        <f t="shared" si="11"/>
        <v>7309.0874999999996</v>
      </c>
      <c r="L31" s="79">
        <v>14</v>
      </c>
      <c r="M31" s="81">
        <f>F31-F30</f>
        <v>56462</v>
      </c>
      <c r="N31" s="79">
        <v>71.5</v>
      </c>
      <c r="O31" s="79">
        <f>C30-N31</f>
        <v>71.5</v>
      </c>
      <c r="P31" s="81">
        <f>M31*N31/C30</f>
        <v>28231</v>
      </c>
      <c r="Q31" s="81">
        <f>M31*O31/C30</f>
        <v>28231</v>
      </c>
      <c r="R31" s="79"/>
      <c r="S31" s="80">
        <v>0</v>
      </c>
      <c r="W31" s="11"/>
      <c r="X31" s="3"/>
    </row>
    <row r="32" spans="1:30" x14ac:dyDescent="0.25">
      <c r="A32" s="76" t="s">
        <v>1056</v>
      </c>
      <c r="B32" s="76" t="s">
        <v>964</v>
      </c>
      <c r="C32" s="76">
        <v>500</v>
      </c>
      <c r="D32" s="76" t="s">
        <v>61</v>
      </c>
      <c r="E32" s="77">
        <v>80620</v>
      </c>
      <c r="F32" s="77">
        <v>40339223</v>
      </c>
      <c r="G32" s="76">
        <v>0</v>
      </c>
      <c r="H32" s="76">
        <v>0</v>
      </c>
      <c r="I32" s="77">
        <f t="shared" si="0"/>
        <v>0</v>
      </c>
      <c r="J32" s="76">
        <v>7.2499999999999995E-2</v>
      </c>
      <c r="K32" s="77">
        <f t="shared" si="11"/>
        <v>29224.75</v>
      </c>
      <c r="L32" s="76">
        <f>(E32*(1+J32/100)+I32/C32)/(1-J33/100)-(S32/C32)*(G32/365)*($AB$2/100)</f>
        <v>80736.983813264611</v>
      </c>
      <c r="M32" s="78"/>
      <c r="N32" s="76"/>
      <c r="O32" s="76"/>
      <c r="P32" s="78"/>
      <c r="Q32" s="78"/>
      <c r="R32" s="76"/>
      <c r="S32" s="77">
        <v>0</v>
      </c>
      <c r="W32" s="11" t="s">
        <v>6</v>
      </c>
      <c r="X32" s="3">
        <f>SUM(X23:X31)</f>
        <v>184803608</v>
      </c>
    </row>
    <row r="33" spans="1:24" x14ac:dyDescent="0.25">
      <c r="A33" s="76" t="s">
        <v>1056</v>
      </c>
      <c r="B33" s="76" t="s">
        <v>964</v>
      </c>
      <c r="C33" s="76">
        <v>500</v>
      </c>
      <c r="D33" s="76" t="s">
        <v>975</v>
      </c>
      <c r="E33" s="77">
        <v>80980</v>
      </c>
      <c r="F33" s="77">
        <v>40460644</v>
      </c>
      <c r="G33" s="76">
        <v>0</v>
      </c>
      <c r="H33" s="76">
        <v>0</v>
      </c>
      <c r="I33" s="77"/>
      <c r="J33" s="76">
        <v>7.2499999999999995E-2</v>
      </c>
      <c r="K33" s="77">
        <f t="shared" si="11"/>
        <v>29355.25</v>
      </c>
      <c r="L33" s="76">
        <v>15</v>
      </c>
      <c r="M33" s="78">
        <f>F33-F32</f>
        <v>121421</v>
      </c>
      <c r="N33" s="76">
        <v>250</v>
      </c>
      <c r="O33" s="76">
        <v>250</v>
      </c>
      <c r="P33" s="78">
        <f>M33*N33/C32</f>
        <v>60710.5</v>
      </c>
      <c r="Q33" s="78">
        <f>M33*O33/C32</f>
        <v>60710.5</v>
      </c>
      <c r="R33" s="76"/>
      <c r="S33" s="77">
        <v>0</v>
      </c>
      <c r="W33" s="11"/>
      <c r="X33" s="3"/>
    </row>
    <row r="34" spans="1:24" x14ac:dyDescent="0.25">
      <c r="A34" s="79" t="s">
        <v>1056</v>
      </c>
      <c r="B34" s="79" t="s">
        <v>1043</v>
      </c>
      <c r="C34" s="79">
        <v>140</v>
      </c>
      <c r="D34" s="79" t="s">
        <v>1058</v>
      </c>
      <c r="E34" s="80">
        <v>70502</v>
      </c>
      <c r="F34" s="80">
        <v>9877463</v>
      </c>
      <c r="G34" s="79">
        <v>0</v>
      </c>
      <c r="H34" s="79">
        <v>0</v>
      </c>
      <c r="I34" s="80"/>
      <c r="J34" s="79">
        <v>7.2499999999999995E-2</v>
      </c>
      <c r="K34" s="80">
        <f t="shared" si="11"/>
        <v>7155.9529999999995</v>
      </c>
      <c r="L34" s="79">
        <f>(E34*(1+J34/100)+I34/C34)/(1-J35/100)-(S34/C34)*(G34/365)*($AB$2/100)</f>
        <v>70604.302069000027</v>
      </c>
      <c r="M34" s="81"/>
      <c r="N34" s="79"/>
      <c r="O34" s="79"/>
      <c r="P34" s="81"/>
      <c r="Q34" s="81"/>
      <c r="R34" s="79"/>
      <c r="S34" s="80">
        <v>0</v>
      </c>
      <c r="W34" s="11" t="s">
        <v>979</v>
      </c>
      <c r="X34" s="3">
        <f>X32-AG12</f>
        <v>4838101.1506848931</v>
      </c>
    </row>
    <row r="35" spans="1:24" x14ac:dyDescent="0.25">
      <c r="A35" s="79" t="s">
        <v>1056</v>
      </c>
      <c r="B35" s="79" t="s">
        <v>1043</v>
      </c>
      <c r="C35" s="79">
        <v>140</v>
      </c>
      <c r="D35" s="79" t="s">
        <v>975</v>
      </c>
      <c r="E35" s="80">
        <v>71186</v>
      </c>
      <c r="F35" s="80">
        <v>9958940</v>
      </c>
      <c r="G35" s="79">
        <v>0</v>
      </c>
      <c r="H35" s="79">
        <v>0</v>
      </c>
      <c r="I35" s="80"/>
      <c r="J35" s="79">
        <v>7.2499999999999995E-2</v>
      </c>
      <c r="K35" s="80">
        <f t="shared" si="11"/>
        <v>7225.378999999999</v>
      </c>
      <c r="L35" s="79">
        <v>16</v>
      </c>
      <c r="M35" s="81">
        <f>F35-F34</f>
        <v>81477</v>
      </c>
      <c r="N35" s="79">
        <v>70</v>
      </c>
      <c r="O35" s="79">
        <v>70</v>
      </c>
      <c r="P35" s="81">
        <f>M35*N35/C34</f>
        <v>40738.5</v>
      </c>
      <c r="Q35" s="81">
        <f>M35*O35/C34</f>
        <v>40738.5</v>
      </c>
      <c r="R35" s="79"/>
      <c r="S35" s="80">
        <v>0</v>
      </c>
    </row>
    <row r="36" spans="1:24" x14ac:dyDescent="0.25">
      <c r="A36" s="76" t="s">
        <v>1067</v>
      </c>
      <c r="B36" s="76" t="s">
        <v>980</v>
      </c>
      <c r="C36" s="76">
        <v>100</v>
      </c>
      <c r="D36" s="76" t="s">
        <v>61</v>
      </c>
      <c r="E36" s="77">
        <v>99000</v>
      </c>
      <c r="F36" s="77">
        <v>9940881</v>
      </c>
      <c r="G36" s="76">
        <v>0</v>
      </c>
      <c r="H36" s="76">
        <v>21</v>
      </c>
      <c r="I36" s="77">
        <f>F36*G36*($AB$2-H36)/(36500)</f>
        <v>0</v>
      </c>
      <c r="J36" s="76">
        <v>7.2499999999999995E-2</v>
      </c>
      <c r="K36" s="77">
        <f t="shared" ref="K36:K37" si="42">C36*E36*J36/100</f>
        <v>7177.5</v>
      </c>
      <c r="L36" s="76">
        <f>(E36*(1+J36/100)+I36/C36)/(1-J37/100)-(S36/C36)*(G36/365)*($AB$2/100)</f>
        <v>99143.654149258218</v>
      </c>
      <c r="M36" s="78"/>
      <c r="N36" s="76"/>
      <c r="O36" s="76"/>
      <c r="P36" s="78"/>
      <c r="Q36" s="78"/>
      <c r="R36" s="76"/>
      <c r="S36" s="77">
        <f t="shared" ref="S36" si="43">C36*E36+K36-F36</f>
        <v>-33703.5</v>
      </c>
    </row>
    <row r="37" spans="1:24" x14ac:dyDescent="0.25">
      <c r="A37" s="76" t="s">
        <v>1067</v>
      </c>
      <c r="B37" s="76" t="s">
        <v>980</v>
      </c>
      <c r="C37" s="76">
        <v>100</v>
      </c>
      <c r="D37" s="76" t="s">
        <v>975</v>
      </c>
      <c r="E37" s="77">
        <v>99200</v>
      </c>
      <c r="F37" s="77">
        <v>9946511</v>
      </c>
      <c r="G37" s="76"/>
      <c r="H37" s="76"/>
      <c r="I37" s="77"/>
      <c r="J37" s="76">
        <v>7.2499999999999995E-2</v>
      </c>
      <c r="K37" s="77">
        <f t="shared" si="42"/>
        <v>7192</v>
      </c>
      <c r="L37" s="76">
        <v>17</v>
      </c>
      <c r="M37" s="78">
        <f>F37-F36</f>
        <v>5630</v>
      </c>
      <c r="N37" s="76">
        <v>50</v>
      </c>
      <c r="O37" s="76">
        <v>50</v>
      </c>
      <c r="P37" s="78">
        <f>M37*N37/C36</f>
        <v>2815</v>
      </c>
      <c r="Q37" s="78">
        <f>M37*O37/C36</f>
        <v>2815</v>
      </c>
      <c r="R37" s="76"/>
      <c r="S37" s="77">
        <f>-C37*E37+K37+F37</f>
        <v>33703</v>
      </c>
    </row>
    <row r="38" spans="1:24" x14ac:dyDescent="0.25">
      <c r="A38" s="79" t="s">
        <v>1067</v>
      </c>
      <c r="B38" s="79" t="s">
        <v>987</v>
      </c>
      <c r="C38" s="79">
        <v>500</v>
      </c>
      <c r="D38" s="79" t="s">
        <v>61</v>
      </c>
      <c r="E38" s="80">
        <v>91000</v>
      </c>
      <c r="F38" s="80">
        <v>46785986</v>
      </c>
      <c r="G38" s="79">
        <v>0</v>
      </c>
      <c r="H38" s="79">
        <v>16</v>
      </c>
      <c r="I38" s="80">
        <f>F38*G38*($AB$2-H38)/(36500)</f>
        <v>0</v>
      </c>
      <c r="J38" s="79">
        <v>7.2499999999999995E-2</v>
      </c>
      <c r="K38" s="80">
        <f t="shared" ref="K38:K55" si="44">C38*E38*J38/100</f>
        <v>32987.5</v>
      </c>
      <c r="L38" s="79">
        <f>(E38*(1+J38/100)+I38/C38)/(1-J39/100)-(S38/C38)*(G38/365)*($AB$2/100)</f>
        <v>91132.045733156541</v>
      </c>
      <c r="M38" s="81"/>
      <c r="N38" s="79"/>
      <c r="O38" s="79"/>
      <c r="P38" s="81"/>
      <c r="Q38" s="81"/>
      <c r="R38" s="79"/>
      <c r="S38" s="80">
        <f t="shared" ref="S38" si="45">C38*E38+K38-F38</f>
        <v>-1252998.5</v>
      </c>
    </row>
    <row r="39" spans="1:24" x14ac:dyDescent="0.25">
      <c r="A39" s="79" t="s">
        <v>1067</v>
      </c>
      <c r="B39" s="79" t="s">
        <v>987</v>
      </c>
      <c r="C39" s="79">
        <v>500</v>
      </c>
      <c r="D39" s="79" t="s">
        <v>975</v>
      </c>
      <c r="E39" s="80">
        <v>92000</v>
      </c>
      <c r="F39" s="80">
        <v>47219599</v>
      </c>
      <c r="G39" s="79"/>
      <c r="H39" s="79"/>
      <c r="I39" s="80"/>
      <c r="J39" s="79">
        <v>7.2499999999999995E-2</v>
      </c>
      <c r="K39" s="80">
        <f t="shared" si="44"/>
        <v>33350</v>
      </c>
      <c r="L39" s="79">
        <v>18</v>
      </c>
      <c r="M39" s="81">
        <f>F39-F38</f>
        <v>433613</v>
      </c>
      <c r="N39" s="79">
        <v>250</v>
      </c>
      <c r="O39" s="79">
        <v>250</v>
      </c>
      <c r="P39" s="81">
        <f t="shared" ref="P39" si="46">M39*N39/C38</f>
        <v>216806.5</v>
      </c>
      <c r="Q39" s="81">
        <f t="shared" ref="Q39" si="47">M39*O39/C38</f>
        <v>216806.5</v>
      </c>
      <c r="R39" s="79"/>
      <c r="S39" s="80">
        <f t="shared" ref="S39" si="48">-C39*E39+K39+F39</f>
        <v>1252949</v>
      </c>
    </row>
    <row r="40" spans="1:24" x14ac:dyDescent="0.25">
      <c r="A40" s="76" t="s">
        <v>1067</v>
      </c>
      <c r="B40" s="76" t="s">
        <v>964</v>
      </c>
      <c r="C40" s="76">
        <v>8</v>
      </c>
      <c r="D40" s="77" t="s">
        <v>61</v>
      </c>
      <c r="E40" s="77">
        <v>82200</v>
      </c>
      <c r="F40" s="77">
        <v>658076</v>
      </c>
      <c r="G40" s="76">
        <v>6</v>
      </c>
      <c r="H40" s="76">
        <v>0</v>
      </c>
      <c r="I40" s="76">
        <f>F40*G40*($AB$2-H40)/(36500)</f>
        <v>2379.8912876712329</v>
      </c>
      <c r="J40" s="76">
        <v>7.2499999999999995E-2</v>
      </c>
      <c r="K40" s="76">
        <f>C40*E40*J40/100</f>
        <v>476.76</v>
      </c>
      <c r="L40" s="76">
        <f>(E40*(1+J40/100)+I40/C40)/(1-J41/100)-(S40/C40)*(G40/365)*($AB$2/100)</f>
        <v>82616.97872053129</v>
      </c>
      <c r="M40" s="76"/>
      <c r="N40" s="76"/>
      <c r="O40" s="76"/>
      <c r="P40" s="76"/>
      <c r="Q40" s="76"/>
      <c r="R40" s="77"/>
      <c r="S40" s="77">
        <v>0</v>
      </c>
    </row>
    <row r="41" spans="1:24" x14ac:dyDescent="0.25">
      <c r="A41" s="76" t="s">
        <v>1106</v>
      </c>
      <c r="B41" s="76" t="s">
        <v>964</v>
      </c>
      <c r="C41" s="76">
        <v>8</v>
      </c>
      <c r="D41" s="76" t="s">
        <v>975</v>
      </c>
      <c r="E41" s="77">
        <v>82630</v>
      </c>
      <c r="F41" s="77">
        <v>660560</v>
      </c>
      <c r="G41" s="76"/>
      <c r="H41" s="77"/>
      <c r="I41" s="76">
        <f>F41*G41*($AB$2-H41)/(36500)</f>
        <v>0</v>
      </c>
      <c r="J41" s="76">
        <v>7.2499999999999995E-2</v>
      </c>
      <c r="K41" s="76">
        <f>C41*E41*J41/100</f>
        <v>479.25399999999996</v>
      </c>
      <c r="L41" s="76">
        <v>19</v>
      </c>
      <c r="M41" s="77">
        <f t="shared" ref="M41" si="49">F41-F40</f>
        <v>2484</v>
      </c>
      <c r="N41" s="76">
        <v>4</v>
      </c>
      <c r="O41" s="77">
        <f>C40-N41</f>
        <v>4</v>
      </c>
      <c r="P41" s="77">
        <f>M41*N41/C40</f>
        <v>1242</v>
      </c>
      <c r="Q41" s="76">
        <f>M41*O41/C40</f>
        <v>1242</v>
      </c>
      <c r="R41" s="77"/>
      <c r="S41" s="77">
        <v>0</v>
      </c>
    </row>
    <row r="42" spans="1:24" x14ac:dyDescent="0.25">
      <c r="A42" s="79" t="s">
        <v>1067</v>
      </c>
      <c r="B42" s="79" t="s">
        <v>990</v>
      </c>
      <c r="C42" s="79">
        <v>1900</v>
      </c>
      <c r="D42" s="79" t="s">
        <v>61</v>
      </c>
      <c r="E42" s="80">
        <v>85537</v>
      </c>
      <c r="F42" s="80">
        <v>170893386</v>
      </c>
      <c r="G42" s="79">
        <v>8</v>
      </c>
      <c r="H42" s="79">
        <v>15</v>
      </c>
      <c r="I42" s="80">
        <f>F42*G42*($AB$2-H42)/(36500)</f>
        <v>262192.5922191781</v>
      </c>
      <c r="J42" s="79">
        <v>7.2499999999999995E-2</v>
      </c>
      <c r="K42" s="80">
        <f>C42*E42*J42/100</f>
        <v>117827.2175</v>
      </c>
      <c r="L42" s="79">
        <f>(E42*(1+J42/100)+I42/C42)/(1-J43/100)-(S42/C42)*(G42/365)*($AB$2/100)</f>
        <v>85820.1654776418</v>
      </c>
      <c r="M42" s="81"/>
      <c r="N42" s="79"/>
      <c r="O42" s="79"/>
      <c r="P42" s="81"/>
      <c r="Q42" s="81"/>
      <c r="R42" s="79"/>
      <c r="S42" s="80">
        <f>C42*E42+K42-F42</f>
        <v>-8255258.7824999988</v>
      </c>
    </row>
    <row r="43" spans="1:24" x14ac:dyDescent="0.25">
      <c r="A43" s="79" t="s">
        <v>1107</v>
      </c>
      <c r="B43" s="79" t="s">
        <v>990</v>
      </c>
      <c r="C43" s="79">
        <v>1900</v>
      </c>
      <c r="D43" s="79" t="s">
        <v>975</v>
      </c>
      <c r="E43" s="80">
        <v>85899</v>
      </c>
      <c r="F43" s="80">
        <v>171903709</v>
      </c>
      <c r="G43" s="79"/>
      <c r="H43" s="79"/>
      <c r="I43" s="80"/>
      <c r="J43" s="79">
        <v>7.2499999999999995E-2</v>
      </c>
      <c r="K43" s="80">
        <f>C43*E43*J43/100</f>
        <v>118325.8725</v>
      </c>
      <c r="L43" s="79">
        <v>20</v>
      </c>
      <c r="M43" s="81">
        <f>F43-F42</f>
        <v>1010323</v>
      </c>
      <c r="N43" s="79">
        <v>950</v>
      </c>
      <c r="O43" s="79">
        <v>950</v>
      </c>
      <c r="P43" s="81">
        <f t="shared" ref="P43" si="50">M43*N43/C42</f>
        <v>505161.5</v>
      </c>
      <c r="Q43" s="81">
        <f t="shared" ref="Q43" si="51">M43*O43/C42</f>
        <v>505161.5</v>
      </c>
      <c r="R43" s="79"/>
      <c r="S43" s="80">
        <f t="shared" ref="S43" si="52">-C43*E43+K43+F43</f>
        <v>8813934.8725000024</v>
      </c>
    </row>
    <row r="44" spans="1:24" x14ac:dyDescent="0.25">
      <c r="A44" s="76"/>
      <c r="B44" s="76"/>
      <c r="C44" s="76"/>
      <c r="D44" s="76"/>
      <c r="E44" s="77"/>
      <c r="F44" s="77"/>
      <c r="G44" s="76"/>
      <c r="H44" s="76"/>
      <c r="I44" s="77"/>
      <c r="J44" s="79">
        <v>7.2499999999999995E-2</v>
      </c>
      <c r="K44" s="77"/>
      <c r="L44" s="76"/>
      <c r="M44" s="78"/>
      <c r="N44" s="76"/>
      <c r="O44" s="76"/>
      <c r="P44" s="78"/>
      <c r="Q44" s="78"/>
      <c r="R44" s="76"/>
      <c r="S44" s="77"/>
    </row>
    <row r="45" spans="1:24" x14ac:dyDescent="0.25">
      <c r="A45" s="76"/>
      <c r="B45" s="76"/>
      <c r="C45" s="76"/>
      <c r="D45" s="76"/>
      <c r="E45" s="77"/>
      <c r="F45" s="77"/>
      <c r="G45" s="76"/>
      <c r="H45" s="76"/>
      <c r="I45" s="77"/>
      <c r="J45" s="79">
        <v>7.2499999999999995E-2</v>
      </c>
      <c r="K45" s="77"/>
      <c r="L45" s="76"/>
      <c r="M45" s="78"/>
      <c r="N45" s="76"/>
      <c r="O45" s="76"/>
      <c r="P45" s="78"/>
      <c r="Q45" s="78"/>
      <c r="R45" s="76"/>
      <c r="S45" s="77"/>
    </row>
    <row r="46" spans="1:24" x14ac:dyDescent="0.25">
      <c r="A46" s="79"/>
      <c r="B46" s="79"/>
      <c r="C46" s="79"/>
      <c r="D46" s="79"/>
      <c r="E46" s="80"/>
      <c r="F46" s="80"/>
      <c r="G46" s="79"/>
      <c r="H46" s="79"/>
      <c r="I46" s="80"/>
      <c r="J46" s="79">
        <v>7.2499999999999995E-2</v>
      </c>
      <c r="K46" s="80"/>
      <c r="L46" s="79"/>
      <c r="M46" s="81"/>
      <c r="N46" s="79"/>
      <c r="O46" s="79"/>
      <c r="P46" s="81"/>
      <c r="Q46" s="81"/>
      <c r="R46" s="79"/>
      <c r="S46" s="80"/>
    </row>
    <row r="47" spans="1:24" x14ac:dyDescent="0.25">
      <c r="A47" s="79"/>
      <c r="B47" s="79"/>
      <c r="C47" s="79"/>
      <c r="D47" s="79"/>
      <c r="E47" s="80"/>
      <c r="F47" s="80"/>
      <c r="G47" s="79"/>
      <c r="H47" s="79"/>
      <c r="I47" s="80"/>
      <c r="J47" s="79">
        <v>7.2499999999999995E-2</v>
      </c>
      <c r="K47" s="80"/>
      <c r="L47" s="79"/>
      <c r="M47" s="81"/>
      <c r="N47" s="79"/>
      <c r="O47" s="79"/>
      <c r="P47" s="81"/>
      <c r="Q47" s="81"/>
      <c r="R47" s="79"/>
      <c r="S47" s="80"/>
    </row>
    <row r="48" spans="1:24" x14ac:dyDescent="0.25">
      <c r="A48" s="76"/>
      <c r="B48" s="76"/>
      <c r="C48" s="76"/>
      <c r="D48" s="76"/>
      <c r="E48" s="77"/>
      <c r="F48" s="77"/>
      <c r="G48" s="76"/>
      <c r="H48" s="76"/>
      <c r="I48" s="77"/>
      <c r="J48" s="79">
        <v>7.2499999999999995E-2</v>
      </c>
      <c r="K48" s="77"/>
      <c r="L48" s="76"/>
      <c r="M48" s="78"/>
      <c r="N48" s="76"/>
      <c r="O48" s="76"/>
      <c r="P48" s="78"/>
      <c r="Q48" s="78"/>
      <c r="R48" s="76"/>
      <c r="S48" s="77"/>
      <c r="W48" t="s">
        <v>25</v>
      </c>
    </row>
    <row r="49" spans="1:20" x14ac:dyDescent="0.25">
      <c r="A49" s="76"/>
      <c r="B49" s="76"/>
      <c r="C49" s="76"/>
      <c r="D49" s="76"/>
      <c r="E49" s="77"/>
      <c r="F49" s="77"/>
      <c r="G49" s="76"/>
      <c r="H49" s="76"/>
      <c r="I49" s="77"/>
      <c r="J49" s="79">
        <v>7.2499999999999995E-2</v>
      </c>
      <c r="K49" s="77"/>
      <c r="L49" s="76"/>
      <c r="M49" s="78"/>
      <c r="N49" s="76"/>
      <c r="O49" s="76"/>
      <c r="P49" s="78"/>
      <c r="Q49" s="78"/>
      <c r="R49" s="76"/>
      <c r="S49" s="77"/>
    </row>
    <row r="50" spans="1:20" x14ac:dyDescent="0.25">
      <c r="A50" s="79"/>
      <c r="B50" s="79"/>
      <c r="C50" s="79"/>
      <c r="D50" s="79"/>
      <c r="E50" s="80"/>
      <c r="F50" s="80"/>
      <c r="G50" s="79"/>
      <c r="H50" s="79"/>
      <c r="I50" s="80"/>
      <c r="J50" s="79">
        <v>7.2499999999999995E-2</v>
      </c>
      <c r="K50" s="80"/>
      <c r="L50" s="79"/>
      <c r="M50" s="81"/>
      <c r="N50" s="79"/>
      <c r="O50" s="79"/>
      <c r="P50" s="81"/>
      <c r="Q50" s="81"/>
      <c r="R50" s="79"/>
      <c r="S50" s="80"/>
    </row>
    <row r="51" spans="1:20" x14ac:dyDescent="0.25">
      <c r="A51" s="79"/>
      <c r="B51" s="79"/>
      <c r="C51" s="79"/>
      <c r="D51" s="79"/>
      <c r="E51" s="80"/>
      <c r="F51" s="80"/>
      <c r="G51" s="79"/>
      <c r="H51" s="79"/>
      <c r="I51" s="80"/>
      <c r="J51" s="79">
        <v>7.2499999999999995E-2</v>
      </c>
      <c r="K51" s="80"/>
      <c r="L51" s="79"/>
      <c r="M51" s="81"/>
      <c r="N51" s="79"/>
      <c r="O51" s="79"/>
      <c r="P51" s="81"/>
      <c r="Q51" s="81"/>
      <c r="R51" s="79"/>
      <c r="S51" s="80"/>
    </row>
    <row r="52" spans="1:20" x14ac:dyDescent="0.25">
      <c r="A52" s="76"/>
      <c r="B52" s="76"/>
      <c r="C52" s="76">
        <v>1</v>
      </c>
      <c r="D52" s="76"/>
      <c r="E52" s="77"/>
      <c r="F52" s="77"/>
      <c r="G52" s="76"/>
      <c r="H52" s="76"/>
      <c r="I52" s="77">
        <f>F52*G52*($AB$2-H52)/(36500)</f>
        <v>0</v>
      </c>
      <c r="J52" s="76">
        <v>7.2499999999999995E-2</v>
      </c>
      <c r="K52" s="77">
        <f t="shared" si="44"/>
        <v>0</v>
      </c>
      <c r="L52" s="76">
        <f t="shared" ref="L52" si="53">(E52*(1+J52/100)+I52/C52)/(1-J53/100)</f>
        <v>0</v>
      </c>
      <c r="M52" s="78"/>
      <c r="N52" s="76"/>
      <c r="O52" s="76"/>
      <c r="P52" s="78"/>
      <c r="Q52" s="78"/>
      <c r="R52" s="76"/>
      <c r="S52" s="89">
        <f t="shared" ref="S52" si="54">C52*E52+K52-F52</f>
        <v>0</v>
      </c>
      <c r="T52" t="s">
        <v>25</v>
      </c>
    </row>
    <row r="53" spans="1:20" x14ac:dyDescent="0.25">
      <c r="A53" s="76"/>
      <c r="B53" s="76"/>
      <c r="C53" s="76">
        <v>1</v>
      </c>
      <c r="D53" s="76"/>
      <c r="E53" s="77"/>
      <c r="F53" s="77"/>
      <c r="G53" s="76"/>
      <c r="H53" s="76"/>
      <c r="I53" s="77"/>
      <c r="J53" s="76">
        <v>7.2499999999999995E-2</v>
      </c>
      <c r="K53" s="77">
        <f t="shared" si="44"/>
        <v>0</v>
      </c>
      <c r="L53" s="76">
        <v>21</v>
      </c>
      <c r="M53" s="78">
        <f t="shared" ref="M53" si="55">F53-F52</f>
        <v>0</v>
      </c>
      <c r="N53" s="76">
        <v>50</v>
      </c>
      <c r="O53" s="76">
        <v>50</v>
      </c>
      <c r="P53" s="78">
        <f t="shared" ref="P53" si="56">M53*N53/C52</f>
        <v>0</v>
      </c>
      <c r="Q53" s="78">
        <f t="shared" ref="Q53" si="57">M53*O53/C52</f>
        <v>0</v>
      </c>
      <c r="R53" s="76"/>
      <c r="S53" s="89">
        <f t="shared" ref="S53" si="58">-C53*E53+K53+F53</f>
        <v>0</v>
      </c>
    </row>
    <row r="54" spans="1:20" x14ac:dyDescent="0.25">
      <c r="A54" s="79"/>
      <c r="B54" s="79"/>
      <c r="C54" s="79">
        <v>1</v>
      </c>
      <c r="D54" s="79"/>
      <c r="E54" s="79"/>
      <c r="F54" s="79"/>
      <c r="G54" s="79"/>
      <c r="H54" s="79"/>
      <c r="I54" s="79">
        <f>F54*G54*($AB$2-H54)/(36500)</f>
        <v>0</v>
      </c>
      <c r="J54" s="79">
        <v>7.2499999999999995E-2</v>
      </c>
      <c r="K54" s="79">
        <f t="shared" si="44"/>
        <v>0</v>
      </c>
      <c r="L54" s="79">
        <f t="shared" ref="L54" si="59">(E54*(1+J54/100)+I54/C54)/(1-J55/100)</f>
        <v>0</v>
      </c>
      <c r="M54" s="79"/>
      <c r="N54" s="79"/>
      <c r="O54" s="79"/>
      <c r="P54" s="79"/>
      <c r="Q54" s="79"/>
      <c r="R54" s="79"/>
      <c r="S54" s="80">
        <f t="shared" ref="S54" si="60">C54*E54+K54-F54</f>
        <v>0</v>
      </c>
    </row>
    <row r="55" spans="1:20" x14ac:dyDescent="0.25">
      <c r="A55" s="79"/>
      <c r="B55" s="79"/>
      <c r="C55" s="79">
        <v>1</v>
      </c>
      <c r="D55" s="79"/>
      <c r="E55" s="79"/>
      <c r="F55" s="79"/>
      <c r="G55" s="79"/>
      <c r="H55" s="79"/>
      <c r="I55" s="79"/>
      <c r="J55" s="79">
        <v>7.2499999999999995E-2</v>
      </c>
      <c r="K55" s="79">
        <f t="shared" si="44"/>
        <v>0</v>
      </c>
      <c r="L55" s="79">
        <v>22</v>
      </c>
      <c r="M55" s="79">
        <f t="shared" ref="M55" si="61">F55-F54</f>
        <v>0</v>
      </c>
      <c r="N55" s="79">
        <v>50</v>
      </c>
      <c r="O55" s="79">
        <v>50</v>
      </c>
      <c r="P55" s="79">
        <f t="shared" ref="P55" si="62">M55*N55/C54</f>
        <v>0</v>
      </c>
      <c r="Q55" s="79">
        <f t="shared" ref="Q55" si="63">M55*O55/C54</f>
        <v>0</v>
      </c>
      <c r="R55" s="79"/>
      <c r="S55" s="80">
        <f t="shared" ref="S55" si="64">-C55*E55+K55+F55</f>
        <v>0</v>
      </c>
    </row>
    <row r="56" spans="1:20" x14ac:dyDescent="0.25">
      <c r="A56" s="16" t="s">
        <v>1112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4"/>
      <c r="T56" t="s">
        <v>25</v>
      </c>
    </row>
    <row r="57" spans="1:20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4"/>
    </row>
    <row r="58" spans="1:20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4"/>
    </row>
    <row r="59" spans="1:20" x14ac:dyDescent="0.25">
      <c r="A59" s="83" t="s">
        <v>25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4"/>
    </row>
    <row r="60" spans="1:20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6"/>
      <c r="Q60" s="16"/>
      <c r="R60" s="16"/>
      <c r="S60" s="14">
        <f t="shared" ref="S60" si="65">-C60*E60+K60+F60</f>
        <v>0</v>
      </c>
    </row>
    <row r="61" spans="1:20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6"/>
      <c r="Q61" s="16"/>
      <c r="R61" s="16"/>
      <c r="S61" s="14">
        <f t="shared" ref="S61" si="66">C61*E61+K61-F61</f>
        <v>0</v>
      </c>
    </row>
    <row r="62" spans="1:20" x14ac:dyDescent="0.25">
      <c r="A62" s="83"/>
      <c r="B62" s="83"/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84">
        <f t="shared" ref="S62" si="67">-C62*E62+K62+F62</f>
        <v>0</v>
      </c>
      <c r="T62" t="s">
        <v>25</v>
      </c>
    </row>
    <row r="63" spans="1:20" x14ac:dyDescent="0.25">
      <c r="A63" s="83"/>
      <c r="B63" s="83"/>
      <c r="C63" s="83"/>
      <c r="D63" s="8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84">
        <f t="shared" ref="S63" si="68">C63*E63+K63-F63</f>
        <v>0</v>
      </c>
    </row>
    <row r="64" spans="1:20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6"/>
      <c r="Q64" s="16"/>
      <c r="R64" s="16"/>
      <c r="S64" s="14">
        <f t="shared" ref="S64" si="69">-C64*E64+K64+F64</f>
        <v>0</v>
      </c>
    </row>
    <row r="65" spans="1:19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6"/>
      <c r="Q65" s="16"/>
      <c r="R65" s="16"/>
      <c r="S65" s="14">
        <f t="shared" ref="S65" si="70">C65*E65+K65-F65</f>
        <v>0</v>
      </c>
    </row>
    <row r="66" spans="1:19" x14ac:dyDescent="0.25">
      <c r="A66" s="83"/>
      <c r="B66" s="83"/>
      <c r="C66" s="83"/>
      <c r="D66" s="83"/>
      <c r="E66" s="83"/>
      <c r="F66" s="83"/>
      <c r="G66" s="83"/>
      <c r="H66" s="83"/>
      <c r="I66" s="84"/>
      <c r="J66" s="83"/>
      <c r="K66" s="83"/>
      <c r="L66" s="83"/>
      <c r="M66" s="83"/>
      <c r="N66" s="83"/>
      <c r="O66" s="83"/>
      <c r="P66" s="83"/>
      <c r="Q66" s="83"/>
      <c r="R66" s="83"/>
      <c r="S66" s="84">
        <f t="shared" ref="S66" si="71">-C66*E66+K66+F66</f>
        <v>0</v>
      </c>
    </row>
    <row r="67" spans="1:19" x14ac:dyDescent="0.25">
      <c r="A67" s="83"/>
      <c r="B67" s="83"/>
      <c r="C67" s="83"/>
      <c r="D67" s="83"/>
      <c r="E67" s="83"/>
      <c r="F67" s="83"/>
      <c r="G67" s="83"/>
      <c r="H67" s="83"/>
      <c r="I67" s="84"/>
      <c r="J67" s="83"/>
      <c r="K67" s="83"/>
      <c r="L67" s="83"/>
      <c r="M67" s="83"/>
      <c r="N67" s="83"/>
      <c r="O67" s="83"/>
      <c r="P67" s="83"/>
      <c r="Q67" s="83"/>
      <c r="R67" s="83"/>
      <c r="S67" s="84">
        <f t="shared" ref="S67" si="72">C67*E67+K67-F67</f>
        <v>0</v>
      </c>
    </row>
    <row r="68" spans="1:19" x14ac:dyDescent="0.25">
      <c r="A68" s="83"/>
      <c r="B68" s="83"/>
      <c r="C68" s="83"/>
      <c r="D68" s="83"/>
      <c r="E68" s="83"/>
      <c r="F68" s="83"/>
      <c r="G68" s="83"/>
      <c r="H68" s="83"/>
      <c r="I68" s="84"/>
      <c r="J68" s="83"/>
      <c r="K68" s="83"/>
      <c r="L68" s="83"/>
      <c r="M68" s="83"/>
      <c r="N68" s="83"/>
      <c r="O68" s="83"/>
      <c r="P68" s="83"/>
      <c r="Q68" s="83"/>
      <c r="R68" s="83"/>
      <c r="S68" s="84">
        <f t="shared" ref="S68" si="73">-C68*E68+K68+F68</f>
        <v>0</v>
      </c>
    </row>
    <row r="69" spans="1:19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2"/>
      <c r="O69" s="82"/>
      <c r="P69" s="11"/>
      <c r="Q69" s="11"/>
      <c r="R69" s="11"/>
    </row>
    <row r="70" spans="1:19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SUM(M2:M68)</f>
        <v>6203615</v>
      </c>
      <c r="N70" s="11"/>
      <c r="O70" s="11"/>
      <c r="P70" s="3">
        <f>SUM(P2:P69)</f>
        <v>3802449.5</v>
      </c>
      <c r="Q70" s="3">
        <f>SUM(Q3:Q69)</f>
        <v>2401165.5</v>
      </c>
      <c r="R70" s="11"/>
      <c r="S70" t="s">
        <v>25</v>
      </c>
    </row>
    <row r="71" spans="1:19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1" t="s">
        <v>1054</v>
      </c>
      <c r="Q71" s="11" t="s">
        <v>1055</v>
      </c>
      <c r="R71" s="11"/>
      <c r="S71" t="s">
        <v>25</v>
      </c>
    </row>
    <row r="72" spans="1:19" x14ac:dyDescent="0.25">
      <c r="A72" s="25"/>
    </row>
    <row r="73" spans="1:19" x14ac:dyDescent="0.25">
      <c r="A73" s="25"/>
    </row>
    <row r="74" spans="1:19" x14ac:dyDescent="0.25">
      <c r="F74" s="7"/>
    </row>
    <row r="85" spans="4:14" x14ac:dyDescent="0.25">
      <c r="D85" t="s">
        <v>25</v>
      </c>
    </row>
    <row r="86" spans="4:14" x14ac:dyDescent="0.25">
      <c r="G86" s="25"/>
    </row>
    <row r="87" spans="4:14" x14ac:dyDescent="0.25">
      <c r="I87" s="25"/>
    </row>
    <row r="88" spans="4:14" x14ac:dyDescent="0.25">
      <c r="I88" s="25"/>
    </row>
    <row r="89" spans="4:14" x14ac:dyDescent="0.25">
      <c r="I89" s="28"/>
    </row>
    <row r="92" spans="4:14" x14ac:dyDescent="0.25">
      <c r="N92" s="25"/>
    </row>
    <row r="93" spans="4:14" x14ac:dyDescent="0.25">
      <c r="N93" s="25"/>
    </row>
    <row r="94" spans="4:14" x14ac:dyDescent="0.25">
      <c r="N94" s="25"/>
    </row>
    <row r="95" spans="4:14" x14ac:dyDescent="0.25">
      <c r="N95" s="25"/>
    </row>
    <row r="96" spans="4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="115" zoomScaleNormal="115" workbookViewId="0">
      <pane xSplit="1" topLeftCell="B1" activePane="topRight" state="frozen"/>
      <selection pane="topRight" activeCell="L32" sqref="L32"/>
    </sheetView>
  </sheetViews>
  <sheetFormatPr defaultRowHeight="15" x14ac:dyDescent="0.25"/>
  <cols>
    <col min="2" max="12" width="13.28515625" bestFit="1" customWidth="1"/>
    <col min="13" max="14" width="12.42578125" customWidth="1"/>
    <col min="16" max="16" width="9" bestFit="1" customWidth="1"/>
    <col min="17" max="17" width="10.85546875" bestFit="1" customWidth="1"/>
    <col min="18" max="19" width="17.5703125" bestFit="1" customWidth="1"/>
    <col min="20" max="20" width="13.28515625" bestFit="1" customWidth="1"/>
    <col min="21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985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1091</v>
      </c>
      <c r="M1" s="11" t="s">
        <v>998</v>
      </c>
      <c r="N1" s="11" t="s">
        <v>1081</v>
      </c>
      <c r="O1" s="11" t="s">
        <v>1000</v>
      </c>
      <c r="P1" s="11" t="s">
        <v>1087</v>
      </c>
      <c r="Q1" s="11" t="s">
        <v>1001</v>
      </c>
      <c r="R1" s="11" t="s">
        <v>1035</v>
      </c>
      <c r="S1" s="11" t="s">
        <v>1012</v>
      </c>
      <c r="T1" s="11" t="s">
        <v>967</v>
      </c>
      <c r="U1" s="69" t="s">
        <v>1086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981</v>
      </c>
      <c r="AD1" t="s">
        <v>1040</v>
      </c>
      <c r="AE1" t="s">
        <v>1041</v>
      </c>
      <c r="AI1">
        <v>0.51500000000000001</v>
      </c>
      <c r="AJ1" t="s">
        <v>1072</v>
      </c>
      <c r="AL1" t="s">
        <v>1082</v>
      </c>
      <c r="AM1" t="s">
        <v>1083</v>
      </c>
    </row>
    <row r="2" spans="1:39" x14ac:dyDescent="0.25">
      <c r="A2" s="92" t="s">
        <v>991</v>
      </c>
      <c r="B2" s="93">
        <f>$S2/(1+($AC$2-$O2+$P2)/36500)^$N2</f>
        <v>92935.340759076455</v>
      </c>
      <c r="C2" s="93">
        <f>$S2/(1+($AC$3-$O2+$P2)/36500)^$N2</f>
        <v>93062.66268058258</v>
      </c>
      <c r="D2" s="93">
        <f>$S2/(1+($AC$4-$O2+$P2)/36500)^$N2</f>
        <v>93222.062370819505</v>
      </c>
      <c r="E2" s="93">
        <f>$S2/(1+($AC$5-$O2+$P2)/36500)^$N2</f>
        <v>93381.737272159662</v>
      </c>
      <c r="F2" s="93">
        <f>$S2/(1+($AC$6-$O2+$P2)/36500)^$N2</f>
        <v>93541.687863549334</v>
      </c>
      <c r="G2" s="93">
        <f>$S2/(1+($AC$7-$O2+$P2)/36500)^$N2</f>
        <v>93701.914624767291</v>
      </c>
      <c r="H2" s="93">
        <f>$S2/(1+($AC$8-$O2+$P2)/36500)^$N2</f>
        <v>93862.418036441493</v>
      </c>
      <c r="I2" s="93">
        <f>$S2/(1+($AC$9-$O2+$P2)/36500)^$N2</f>
        <v>94023.1985800369</v>
      </c>
      <c r="J2" s="93">
        <f>$S2/(1+($AC$10-$O2+$P2)/36500)^$N2</f>
        <v>94184.256737865508</v>
      </c>
      <c r="K2" s="93">
        <f>$S2/(1+($AC$11-$O2+$P2)/36500)^$N2</f>
        <v>94345.592993090031</v>
      </c>
      <c r="L2" s="93">
        <f>$S2/(1+($AC$5-$O2+$P2)/36500)^$N2</f>
        <v>93381.737272159662</v>
      </c>
      <c r="M2" s="92" t="s">
        <v>1021</v>
      </c>
      <c r="N2" s="92">
        <f>132-$AD$19</f>
        <v>125</v>
      </c>
      <c r="O2" s="92">
        <v>0</v>
      </c>
      <c r="P2" s="92">
        <v>0</v>
      </c>
      <c r="Q2" s="92">
        <v>0</v>
      </c>
      <c r="R2" s="92">
        <f t="shared" ref="R2:R29" si="0">N2/30.5</f>
        <v>4.0983606557377046</v>
      </c>
      <c r="S2" s="93">
        <v>100000</v>
      </c>
      <c r="T2" s="93">
        <v>93600</v>
      </c>
      <c r="U2" s="93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1073</v>
      </c>
    </row>
    <row r="3" spans="1:39" x14ac:dyDescent="0.25">
      <c r="A3" s="94" t="s">
        <v>992</v>
      </c>
      <c r="B3" s="95">
        <f t="shared" ref="B3:B29" si="2">$S3/(1+($AC$2-$O3+$P3)/36500)^$N3</f>
        <v>91048.238184611357</v>
      </c>
      <c r="C3" s="95">
        <f t="shared" ref="C3:C29" si="3">$S3/(1+($AC$3-$O3+$P3)/36500)^$N3</f>
        <v>91207.931621335592</v>
      </c>
      <c r="D3" s="95">
        <f t="shared" ref="D3:D29" si="4">$S3/(1+($AC$4-$O3+$P3)/36500)^$N3</f>
        <v>91407.944823064754</v>
      </c>
      <c r="E3" s="95">
        <f t="shared" ref="E3:E29" si="5">$S3/(1+($AC$5-$O3+$P3)/36500)^$N3</f>
        <v>91608.399388440506</v>
      </c>
      <c r="F3" s="95">
        <f t="shared" ref="F3:F29" si="6">$S3/(1+($AC$6-$O3+$P3)/36500)^$N3</f>
        <v>91809.296297475215</v>
      </c>
      <c r="G3" s="95">
        <f t="shared" ref="G3:G29" si="7">$S3/(1+($AC$7-$O3+$P3)/36500)^$N3</f>
        <v>92010.636532361212</v>
      </c>
      <c r="H3" s="95">
        <f t="shared" ref="H3:H29" si="8">$S3/(1+($AC$8-$O3+$P3)/36500)^$N3</f>
        <v>92212.421077494757</v>
      </c>
      <c r="I3" s="95">
        <f t="shared" ref="I3:I29" si="9">$S3/(1+($AC$9-$O3+$P3)/36500)^$N3</f>
        <v>92414.650919463907</v>
      </c>
      <c r="J3" s="95">
        <f t="shared" ref="J3:J29" si="10">$S3/(1+($AC$10-$O3+$P3)/36500)^$N3</f>
        <v>92617.327047064231</v>
      </c>
      <c r="K3" s="95">
        <f t="shared" ref="K3:K29" si="11">$S3/(1+($AC$11-$O3+$P3)/36500)^$N3</f>
        <v>92820.450451306184</v>
      </c>
      <c r="L3" s="95">
        <f t="shared" ref="L3:L29" si="12">$S3/(1+($AC$5-$O3+$P3)/36500)^$N3</f>
        <v>91608.399388440506</v>
      </c>
      <c r="M3" s="94" t="s">
        <v>1022</v>
      </c>
      <c r="N3" s="94">
        <f>167-$AD$19</f>
        <v>160</v>
      </c>
      <c r="O3" s="94">
        <v>0</v>
      </c>
      <c r="P3" s="94">
        <v>0</v>
      </c>
      <c r="Q3" s="94">
        <v>0</v>
      </c>
      <c r="R3" s="94">
        <f t="shared" si="0"/>
        <v>5.2459016393442619</v>
      </c>
      <c r="S3" s="95">
        <v>100000</v>
      </c>
      <c r="T3" s="95">
        <v>92000</v>
      </c>
      <c r="U3" s="95">
        <f t="shared" ref="U2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6" t="s">
        <v>993</v>
      </c>
      <c r="B4" s="97">
        <f t="shared" si="2"/>
        <v>89513.701119718025</v>
      </c>
      <c r="C4" s="97">
        <f t="shared" si="3"/>
        <v>89699.189133052714</v>
      </c>
      <c r="D4" s="97">
        <f t="shared" si="4"/>
        <v>89931.592621546282</v>
      </c>
      <c r="E4" s="97">
        <f t="shared" si="5"/>
        <v>90164.601443270163</v>
      </c>
      <c r="F4" s="97">
        <f t="shared" si="6"/>
        <v>90398.217183240005</v>
      </c>
      <c r="G4" s="97">
        <f t="shared" si="7"/>
        <v>90632.441430632316</v>
      </c>
      <c r="H4" s="97">
        <f t="shared" si="8"/>
        <v>90867.275778817799</v>
      </c>
      <c r="I4" s="97">
        <f t="shared" si="9"/>
        <v>91102.721825352492</v>
      </c>
      <c r="J4" s="97">
        <f t="shared" si="10"/>
        <v>91338.78117200124</v>
      </c>
      <c r="K4" s="97">
        <f t="shared" si="11"/>
        <v>91575.455424752072</v>
      </c>
      <c r="L4" s="97">
        <f t="shared" si="12"/>
        <v>90164.601443270163</v>
      </c>
      <c r="M4" s="96" t="s">
        <v>1023</v>
      </c>
      <c r="N4" s="96">
        <f>196-$AD$19</f>
        <v>189</v>
      </c>
      <c r="O4" s="96">
        <v>0</v>
      </c>
      <c r="P4" s="96">
        <v>0</v>
      </c>
      <c r="Q4" s="96">
        <v>0</v>
      </c>
      <c r="R4" s="96">
        <f t="shared" si="0"/>
        <v>6.1967213114754101</v>
      </c>
      <c r="S4" s="97">
        <v>100000</v>
      </c>
      <c r="T4" s="97">
        <v>90500</v>
      </c>
      <c r="U4" s="97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2" t="s">
        <v>994</v>
      </c>
      <c r="B5" s="93">
        <f t="shared" si="2"/>
        <v>70598.523165373204</v>
      </c>
      <c r="C5" s="93">
        <f t="shared" si="3"/>
        <v>71059.321072832696</v>
      </c>
      <c r="D5" s="93">
        <f t="shared" si="4"/>
        <v>71639.557422567479</v>
      </c>
      <c r="E5" s="93">
        <f t="shared" si="5"/>
        <v>72224.539745672766</v>
      </c>
      <c r="F5" s="93">
        <f t="shared" si="6"/>
        <v>72814.306927056168</v>
      </c>
      <c r="G5" s="93">
        <f t="shared" si="7"/>
        <v>73408.898170729473</v>
      </c>
      <c r="H5" s="93">
        <f t="shared" si="8"/>
        <v>74008.353002488293</v>
      </c>
      <c r="I5" s="93">
        <f t="shared" si="9"/>
        <v>74612.711272506946</v>
      </c>
      <c r="J5" s="93">
        <f t="shared" si="10"/>
        <v>75222.013158037065</v>
      </c>
      <c r="K5" s="93">
        <f t="shared" si="11"/>
        <v>75836.299166104363</v>
      </c>
      <c r="L5" s="93">
        <f t="shared" si="12"/>
        <v>72224.539745672766</v>
      </c>
      <c r="M5" s="92" t="s">
        <v>1024</v>
      </c>
      <c r="N5" s="92">
        <f>601-$AD$19</f>
        <v>594</v>
      </c>
      <c r="O5" s="92">
        <v>0</v>
      </c>
      <c r="P5" s="92">
        <v>0</v>
      </c>
      <c r="Q5" s="92">
        <v>0</v>
      </c>
      <c r="R5" s="92">
        <f t="shared" si="0"/>
        <v>19.475409836065573</v>
      </c>
      <c r="S5" s="93">
        <v>100000</v>
      </c>
      <c r="T5" s="93">
        <v>73200</v>
      </c>
      <c r="U5" s="93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975</v>
      </c>
      <c r="AC5">
        <v>20</v>
      </c>
    </row>
    <row r="6" spans="1:39" x14ac:dyDescent="0.25">
      <c r="A6" s="94" t="s">
        <v>995</v>
      </c>
      <c r="B6" s="95">
        <f t="shared" si="2"/>
        <v>85613.745793979542</v>
      </c>
      <c r="C6" s="95">
        <f t="shared" si="3"/>
        <v>85862.594124146883</v>
      </c>
      <c r="D6" s="95">
        <f t="shared" si="4"/>
        <v>86174.675793618313</v>
      </c>
      <c r="E6" s="95">
        <f t="shared" si="5"/>
        <v>86487.896071092226</v>
      </c>
      <c r="F6" s="95">
        <f t="shared" si="6"/>
        <v>86802.259126381119</v>
      </c>
      <c r="G6" s="95">
        <f t="shared" si="7"/>
        <v>87117.769144610516</v>
      </c>
      <c r="H6" s="95">
        <f t="shared" si="8"/>
        <v>87434.430326305635</v>
      </c>
      <c r="I6" s="95">
        <f t="shared" si="9"/>
        <v>87752.246887421134</v>
      </c>
      <c r="J6" s="95">
        <f t="shared" si="10"/>
        <v>88071.22305941509</v>
      </c>
      <c r="K6" s="95">
        <f t="shared" si="11"/>
        <v>88391.363089310107</v>
      </c>
      <c r="L6" s="95">
        <f t="shared" si="12"/>
        <v>86487.896071092226</v>
      </c>
      <c r="M6" s="94" t="s">
        <v>1025</v>
      </c>
      <c r="N6" s="94">
        <f>272-$AD$19</f>
        <v>265</v>
      </c>
      <c r="O6" s="94">
        <v>0</v>
      </c>
      <c r="P6" s="94">
        <v>0</v>
      </c>
      <c r="Q6" s="94">
        <v>0</v>
      </c>
      <c r="R6" s="94">
        <f t="shared" si="0"/>
        <v>8.6885245901639347</v>
      </c>
      <c r="S6" s="95">
        <v>100000</v>
      </c>
      <c r="T6" s="95">
        <v>87200</v>
      </c>
      <c r="U6" s="95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6" t="s">
        <v>996</v>
      </c>
      <c r="B7" s="97">
        <f t="shared" si="2"/>
        <v>71766.719629549261</v>
      </c>
      <c r="C7" s="97">
        <f t="shared" si="3"/>
        <v>72212.993336683925</v>
      </c>
      <c r="D7" s="97">
        <f t="shared" si="4"/>
        <v>72774.746931266287</v>
      </c>
      <c r="E7" s="97">
        <f t="shared" si="5"/>
        <v>73340.878255770382</v>
      </c>
      <c r="F7" s="97">
        <f t="shared" si="6"/>
        <v>73911.421486372885</v>
      </c>
      <c r="G7" s="97">
        <f t="shared" si="7"/>
        <v>74486.41106650405</v>
      </c>
      <c r="H7" s="97">
        <f t="shared" si="8"/>
        <v>75065.881708995992</v>
      </c>
      <c r="I7" s="97">
        <f t="shared" si="9"/>
        <v>75649.868398144463</v>
      </c>
      <c r="J7" s="97">
        <f t="shared" si="10"/>
        <v>76238.406391866491</v>
      </c>
      <c r="K7" s="97">
        <f t="shared" si="11"/>
        <v>76831.53122385178</v>
      </c>
      <c r="L7" s="97">
        <f t="shared" si="12"/>
        <v>73340.878255770382</v>
      </c>
      <c r="M7" s="96" t="s">
        <v>1026</v>
      </c>
      <c r="N7" s="96">
        <f>573-$AD$19</f>
        <v>566</v>
      </c>
      <c r="O7" s="96">
        <v>0</v>
      </c>
      <c r="P7" s="96">
        <v>0</v>
      </c>
      <c r="Q7" s="96">
        <v>0</v>
      </c>
      <c r="R7" s="96">
        <f t="shared" si="0"/>
        <v>18.557377049180328</v>
      </c>
      <c r="S7" s="97">
        <v>100000</v>
      </c>
      <c r="T7" s="97">
        <v>73600</v>
      </c>
      <c r="U7" s="97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2" t="s">
        <v>997</v>
      </c>
      <c r="B8" s="93">
        <f t="shared" si="2"/>
        <v>84914.089880078071</v>
      </c>
      <c r="C8" s="93">
        <f t="shared" si="3"/>
        <v>85173.963761769104</v>
      </c>
      <c r="D8" s="93">
        <f t="shared" si="4"/>
        <v>85499.928851087112</v>
      </c>
      <c r="E8" s="93">
        <f t="shared" si="5"/>
        <v>85827.145913809465</v>
      </c>
      <c r="F8" s="93">
        <f t="shared" si="6"/>
        <v>86155.619775788466</v>
      </c>
      <c r="G8" s="93">
        <f t="shared" si="7"/>
        <v>86485.355281528988</v>
      </c>
      <c r="H8" s="93">
        <f t="shared" si="8"/>
        <v>86816.357294292087</v>
      </c>
      <c r="I8" s="93">
        <f t="shared" si="9"/>
        <v>87148.630696139779</v>
      </c>
      <c r="J8" s="93">
        <f t="shared" si="10"/>
        <v>87482.180388025779</v>
      </c>
      <c r="K8" s="93">
        <f t="shared" si="11"/>
        <v>87817.011289872869</v>
      </c>
      <c r="L8" s="93">
        <f t="shared" si="12"/>
        <v>85827.145913809465</v>
      </c>
      <c r="M8" s="92" t="s">
        <v>1028</v>
      </c>
      <c r="N8" s="92">
        <f>286-$AD$19</f>
        <v>279</v>
      </c>
      <c r="O8" s="92">
        <v>0</v>
      </c>
      <c r="P8" s="92">
        <v>0</v>
      </c>
      <c r="Q8" s="92">
        <v>0</v>
      </c>
      <c r="R8" s="92">
        <f t="shared" si="0"/>
        <v>9.1475409836065573</v>
      </c>
      <c r="S8" s="93">
        <v>100000</v>
      </c>
      <c r="T8" s="93">
        <v>86700</v>
      </c>
      <c r="U8" s="93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4" t="s">
        <v>1013</v>
      </c>
      <c r="B9" s="95">
        <f t="shared" si="2"/>
        <v>76277.524559116238</v>
      </c>
      <c r="C9" s="95">
        <f t="shared" si="3"/>
        <v>76664.472698654368</v>
      </c>
      <c r="D9" s="95">
        <f t="shared" si="4"/>
        <v>77150.925448288035</v>
      </c>
      <c r="E9" s="95">
        <f t="shared" si="5"/>
        <v>77640.471569909481</v>
      </c>
      <c r="F9" s="95">
        <f t="shared" si="6"/>
        <v>78133.130777159065</v>
      </c>
      <c r="G9" s="95">
        <f t="shared" si="7"/>
        <v>78628.922909558605</v>
      </c>
      <c r="H9" s="95">
        <f t="shared" si="8"/>
        <v>79127.86793336393</v>
      </c>
      <c r="I9" s="95">
        <f t="shared" si="9"/>
        <v>79629.985942333806</v>
      </c>
      <c r="J9" s="95">
        <f t="shared" si="10"/>
        <v>80135.297158572692</v>
      </c>
      <c r="K9" s="95">
        <f t="shared" si="11"/>
        <v>80643.821933358748</v>
      </c>
      <c r="L9" s="95">
        <f t="shared" si="12"/>
        <v>77640.471569909481</v>
      </c>
      <c r="M9" s="94" t="s">
        <v>1027</v>
      </c>
      <c r="N9" s="94">
        <f>469-$AD$19</f>
        <v>462</v>
      </c>
      <c r="O9" s="94">
        <v>0</v>
      </c>
      <c r="P9" s="94">
        <v>0</v>
      </c>
      <c r="Q9" s="94">
        <v>0</v>
      </c>
      <c r="R9" s="94">
        <f t="shared" si="0"/>
        <v>15.147540983606557</v>
      </c>
      <c r="S9" s="95">
        <v>100000</v>
      </c>
      <c r="T9" s="95">
        <v>78300</v>
      </c>
      <c r="U9" s="95">
        <f t="shared" si="13"/>
        <v>99999.999999999985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6" t="s">
        <v>1014</v>
      </c>
      <c r="B10" s="97">
        <f t="shared" si="2"/>
        <v>76277.524559116238</v>
      </c>
      <c r="C10" s="97">
        <f t="shared" si="3"/>
        <v>76664.472698654368</v>
      </c>
      <c r="D10" s="97">
        <f t="shared" si="4"/>
        <v>77150.925448288035</v>
      </c>
      <c r="E10" s="97">
        <f t="shared" si="5"/>
        <v>77640.471569909481</v>
      </c>
      <c r="F10" s="97">
        <f t="shared" si="6"/>
        <v>78133.130777159065</v>
      </c>
      <c r="G10" s="97">
        <f t="shared" si="7"/>
        <v>78628.922909558605</v>
      </c>
      <c r="H10" s="97">
        <f t="shared" si="8"/>
        <v>79127.86793336393</v>
      </c>
      <c r="I10" s="97">
        <f t="shared" si="9"/>
        <v>79629.985942333806</v>
      </c>
      <c r="J10" s="97">
        <f t="shared" si="10"/>
        <v>80135.297158572692</v>
      </c>
      <c r="K10" s="97">
        <f t="shared" si="11"/>
        <v>80643.821933358748</v>
      </c>
      <c r="L10" s="97">
        <f t="shared" si="12"/>
        <v>77640.471569909481</v>
      </c>
      <c r="M10" s="96" t="s">
        <v>1027</v>
      </c>
      <c r="N10" s="96">
        <f>469-$AD$19</f>
        <v>462</v>
      </c>
      <c r="O10" s="96">
        <v>0</v>
      </c>
      <c r="P10" s="96">
        <v>0</v>
      </c>
      <c r="Q10" s="96">
        <v>0</v>
      </c>
      <c r="R10" s="96">
        <f t="shared" si="0"/>
        <v>15.147540983606557</v>
      </c>
      <c r="S10" s="97">
        <v>100000</v>
      </c>
      <c r="T10" s="97">
        <v>77700</v>
      </c>
      <c r="U10" s="97">
        <f t="shared" si="13"/>
        <v>99999.999999999985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2" t="s">
        <v>1015</v>
      </c>
      <c r="B11" s="93">
        <f t="shared" si="2"/>
        <v>69734.871779947964</v>
      </c>
      <c r="C11" s="93">
        <f t="shared" si="3"/>
        <v>70206.178420880693</v>
      </c>
      <c r="D11" s="93">
        <f t="shared" si="4"/>
        <v>70799.800984897083</v>
      </c>
      <c r="E11" s="93">
        <f t="shared" si="5"/>
        <v>71398.45110622466</v>
      </c>
      <c r="F11" s="93">
        <f t="shared" si="6"/>
        <v>72002.171434390271</v>
      </c>
      <c r="G11" s="93">
        <f t="shared" si="7"/>
        <v>72611.00498128566</v>
      </c>
      <c r="H11" s="93">
        <f t="shared" si="8"/>
        <v>73224.995124309105</v>
      </c>
      <c r="I11" s="93">
        <f t="shared" si="9"/>
        <v>73844.185609424487</v>
      </c>
      <c r="J11" s="93">
        <f t="shared" si="10"/>
        <v>74468.620554330788</v>
      </c>
      <c r="K11" s="93">
        <f t="shared" si="11"/>
        <v>75098.344451634155</v>
      </c>
      <c r="L11" s="93">
        <f t="shared" si="12"/>
        <v>71398.45110622466</v>
      </c>
      <c r="M11" s="92" t="s">
        <v>1031</v>
      </c>
      <c r="N11" s="92">
        <f>622-$AD$19</f>
        <v>615</v>
      </c>
      <c r="O11" s="92">
        <v>0</v>
      </c>
      <c r="P11" s="92">
        <v>0</v>
      </c>
      <c r="Q11" s="92">
        <v>0</v>
      </c>
      <c r="R11" s="92">
        <f t="shared" si="0"/>
        <v>20.16393442622951</v>
      </c>
      <c r="S11" s="93">
        <v>100000</v>
      </c>
      <c r="T11" s="93">
        <v>71800</v>
      </c>
      <c r="U11" s="93">
        <f t="shared" si="13"/>
        <v>100000.00000000001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4" t="s">
        <v>1016</v>
      </c>
      <c r="B12" s="95">
        <f t="shared" si="2"/>
        <v>86268.587183606593</v>
      </c>
      <c r="C12" s="95">
        <f t="shared" si="3"/>
        <v>86507.020891126478</v>
      </c>
      <c r="D12" s="95">
        <f t="shared" si="4"/>
        <v>86805.993641830297</v>
      </c>
      <c r="E12" s="95">
        <f t="shared" si="5"/>
        <v>87106.003772344979</v>
      </c>
      <c r="F12" s="95">
        <f t="shared" si="6"/>
        <v>87407.054896469053</v>
      </c>
      <c r="G12" s="95">
        <f t="shared" si="7"/>
        <v>87709.150640625521</v>
      </c>
      <c r="H12" s="95">
        <f t="shared" si="8"/>
        <v>88012.294643934656</v>
      </c>
      <c r="I12" s="95">
        <f t="shared" si="9"/>
        <v>88316.490558233025</v>
      </c>
      <c r="J12" s="95">
        <f t="shared" si="10"/>
        <v>88621.742048134241</v>
      </c>
      <c r="K12" s="95">
        <f t="shared" si="11"/>
        <v>88928.052791077629</v>
      </c>
      <c r="L12" s="95">
        <f t="shared" si="12"/>
        <v>87106.003772344979</v>
      </c>
      <c r="M12" s="94" t="s">
        <v>1032</v>
      </c>
      <c r="N12" s="94">
        <f>259-$AD$19</f>
        <v>252</v>
      </c>
      <c r="O12" s="94">
        <v>0</v>
      </c>
      <c r="P12" s="94">
        <v>0</v>
      </c>
      <c r="Q12" s="94">
        <v>0</v>
      </c>
      <c r="R12" s="94">
        <f t="shared" si="0"/>
        <v>8.2622950819672134</v>
      </c>
      <c r="S12" s="95">
        <v>100000</v>
      </c>
      <c r="T12" s="95">
        <v>86600</v>
      </c>
      <c r="U12" s="95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6" t="s">
        <v>1017</v>
      </c>
      <c r="B13" s="97">
        <f t="shared" si="2"/>
        <v>67206.793939178126</v>
      </c>
      <c r="C13" s="97">
        <f t="shared" si="3"/>
        <v>67707.717338810995</v>
      </c>
      <c r="D13" s="97">
        <f t="shared" si="4"/>
        <v>68339.133056400184</v>
      </c>
      <c r="E13" s="97">
        <f t="shared" si="5"/>
        <v>68976.44587617254</v>
      </c>
      <c r="F13" s="97">
        <f t="shared" si="6"/>
        <v>69619.71095595407</v>
      </c>
      <c r="G13" s="97">
        <f t="shared" si="7"/>
        <v>70268.983970217669</v>
      </c>
      <c r="H13" s="97">
        <f t="shared" si="8"/>
        <v>70924.321114991602</v>
      </c>
      <c r="I13" s="97">
        <f t="shared" si="9"/>
        <v>71585.779112696822</v>
      </c>
      <c r="J13" s="97">
        <f t="shared" si="10"/>
        <v>72253.415217120229</v>
      </c>
      <c r="K13" s="97">
        <f t="shared" si="11"/>
        <v>72927.287218408441</v>
      </c>
      <c r="L13" s="97">
        <f t="shared" si="12"/>
        <v>68976.44587617254</v>
      </c>
      <c r="M13" s="96" t="s">
        <v>1033</v>
      </c>
      <c r="N13" s="96">
        <f>685-$AD$19</f>
        <v>678</v>
      </c>
      <c r="O13" s="96">
        <v>0</v>
      </c>
      <c r="P13" s="96">
        <v>0</v>
      </c>
      <c r="Q13" s="96">
        <v>0</v>
      </c>
      <c r="R13" s="96">
        <f t="shared" si="0"/>
        <v>22.229508196721312</v>
      </c>
      <c r="S13" s="97">
        <v>100000</v>
      </c>
      <c r="T13" s="97">
        <v>70000</v>
      </c>
      <c r="U13" s="97">
        <f t="shared" si="13"/>
        <v>99999.999999999985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2" t="s">
        <v>1018</v>
      </c>
      <c r="B14" s="93">
        <f t="shared" si="2"/>
        <v>68318.8673300683</v>
      </c>
      <c r="C14" s="93">
        <f t="shared" si="3"/>
        <v>68806.975175265718</v>
      </c>
      <c r="D14" s="93">
        <f t="shared" si="4"/>
        <v>69422.02454359355</v>
      </c>
      <c r="E14" s="93">
        <f t="shared" si="5"/>
        <v>70042.580227355444</v>
      </c>
      <c r="F14" s="93">
        <f t="shared" si="6"/>
        <v>70668.691599026264</v>
      </c>
      <c r="G14" s="93">
        <f t="shared" si="7"/>
        <v>71300.408474435026</v>
      </c>
      <c r="H14" s="93">
        <f t="shared" si="8"/>
        <v>71937.781116812621</v>
      </c>
      <c r="I14" s="93">
        <f t="shared" si="9"/>
        <v>72580.860240761947</v>
      </c>
      <c r="J14" s="93">
        <f t="shared" si="10"/>
        <v>73229.697016351813</v>
      </c>
      <c r="K14" s="93">
        <f t="shared" si="11"/>
        <v>73884.343073221986</v>
      </c>
      <c r="L14" s="93">
        <f t="shared" si="12"/>
        <v>70042.580227355444</v>
      </c>
      <c r="M14" s="92" t="s">
        <v>1034</v>
      </c>
      <c r="N14" s="92">
        <f>657-$AD$19</f>
        <v>650</v>
      </c>
      <c r="O14" s="92">
        <v>0</v>
      </c>
      <c r="P14" s="92">
        <v>0</v>
      </c>
      <c r="Q14" s="92">
        <v>0</v>
      </c>
      <c r="R14" s="92">
        <f t="shared" si="0"/>
        <v>21.311475409836067</v>
      </c>
      <c r="S14" s="93">
        <v>100000</v>
      </c>
      <c r="T14" s="93">
        <v>70700</v>
      </c>
      <c r="U14" s="93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4" t="s">
        <v>1019</v>
      </c>
      <c r="B15" s="95">
        <f t="shared" si="2"/>
        <v>68318.8673300683</v>
      </c>
      <c r="C15" s="95">
        <f t="shared" si="3"/>
        <v>68806.975175265718</v>
      </c>
      <c r="D15" s="95">
        <f t="shared" si="4"/>
        <v>69422.02454359355</v>
      </c>
      <c r="E15" s="95">
        <f t="shared" si="5"/>
        <v>70042.580227355444</v>
      </c>
      <c r="F15" s="95">
        <f t="shared" si="6"/>
        <v>70668.691599026264</v>
      </c>
      <c r="G15" s="95">
        <f t="shared" si="7"/>
        <v>71300.408474435026</v>
      </c>
      <c r="H15" s="95">
        <f t="shared" si="8"/>
        <v>71937.781116812621</v>
      </c>
      <c r="I15" s="95">
        <f t="shared" si="9"/>
        <v>72580.860240761947</v>
      </c>
      <c r="J15" s="95">
        <f t="shared" si="10"/>
        <v>73229.697016351813</v>
      </c>
      <c r="K15" s="95">
        <f t="shared" si="11"/>
        <v>73884.343073221986</v>
      </c>
      <c r="L15" s="95">
        <f t="shared" si="12"/>
        <v>70042.580227355444</v>
      </c>
      <c r="M15" s="94" t="s">
        <v>1034</v>
      </c>
      <c r="N15" s="94">
        <f>657-$AD$19</f>
        <v>650</v>
      </c>
      <c r="O15" s="94">
        <v>0</v>
      </c>
      <c r="P15" s="94">
        <v>0</v>
      </c>
      <c r="Q15" s="94">
        <v>0</v>
      </c>
      <c r="R15" s="94">
        <f t="shared" si="0"/>
        <v>21.311475409836067</v>
      </c>
      <c r="S15" s="95">
        <v>100000</v>
      </c>
      <c r="T15" s="95">
        <v>71000</v>
      </c>
      <c r="U15" s="95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7">
        <f>AE2*((1+$AC$2/36500)^365)</f>
        <v>123854.4983528483</v>
      </c>
      <c r="AD15">
        <v>21.4</v>
      </c>
      <c r="AF15" s="26"/>
    </row>
    <row r="16" spans="1:39" x14ac:dyDescent="0.25">
      <c r="A16" s="96" t="s">
        <v>1020</v>
      </c>
      <c r="B16" s="97">
        <f t="shared" si="2"/>
        <v>70598.523165373204</v>
      </c>
      <c r="C16" s="97">
        <f t="shared" si="3"/>
        <v>71059.321072832696</v>
      </c>
      <c r="D16" s="97">
        <f t="shared" si="4"/>
        <v>71639.557422567479</v>
      </c>
      <c r="E16" s="97">
        <f t="shared" si="5"/>
        <v>72224.539745672766</v>
      </c>
      <c r="F16" s="97">
        <f t="shared" si="6"/>
        <v>72814.306927056168</v>
      </c>
      <c r="G16" s="97">
        <f t="shared" si="7"/>
        <v>73408.898170729473</v>
      </c>
      <c r="H16" s="97">
        <f t="shared" si="8"/>
        <v>74008.353002488293</v>
      </c>
      <c r="I16" s="97">
        <f t="shared" si="9"/>
        <v>74612.711272506946</v>
      </c>
      <c r="J16" s="97">
        <f t="shared" si="10"/>
        <v>75222.013158037065</v>
      </c>
      <c r="K16" s="97">
        <f t="shared" si="11"/>
        <v>75836.299166104363</v>
      </c>
      <c r="L16" s="97">
        <f t="shared" si="12"/>
        <v>72224.539745672766</v>
      </c>
      <c r="M16" s="96" t="s">
        <v>1024</v>
      </c>
      <c r="N16" s="96">
        <f>601-$AD$19</f>
        <v>594</v>
      </c>
      <c r="O16" s="96">
        <v>0</v>
      </c>
      <c r="P16" s="96">
        <v>0</v>
      </c>
      <c r="Q16" s="96">
        <v>0</v>
      </c>
      <c r="R16" s="96">
        <f t="shared" si="0"/>
        <v>19.475409836065573</v>
      </c>
      <c r="S16" s="97">
        <v>100000</v>
      </c>
      <c r="T16" s="97">
        <v>73100</v>
      </c>
      <c r="U16" s="97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2" t="s">
        <v>1038</v>
      </c>
      <c r="B17" s="93">
        <f t="shared" si="2"/>
        <v>82852.083230602875</v>
      </c>
      <c r="C17" s="93">
        <f t="shared" si="3"/>
        <v>84123.653924935425</v>
      </c>
      <c r="D17" s="93">
        <f t="shared" si="4"/>
        <v>85740.615953871005</v>
      </c>
      <c r="E17" s="93">
        <f t="shared" si="5"/>
        <v>87388.680808107296</v>
      </c>
      <c r="F17" s="93">
        <f t="shared" si="6"/>
        <v>89068.447199582384</v>
      </c>
      <c r="G17" s="93">
        <f t="shared" si="7"/>
        <v>90780.525373634038</v>
      </c>
      <c r="H17" s="93">
        <f t="shared" si="8"/>
        <v>92525.537331259839</v>
      </c>
      <c r="I17" s="93">
        <f t="shared" si="9"/>
        <v>94304.117055582334</v>
      </c>
      <c r="J17" s="93">
        <f t="shared" si="10"/>
        <v>96116.910743185901</v>
      </c>
      <c r="K17" s="93">
        <f t="shared" si="11"/>
        <v>97964.577039211785</v>
      </c>
      <c r="L17" s="93">
        <f t="shared" si="12"/>
        <v>87388.680808107296</v>
      </c>
      <c r="M17" s="92" t="s">
        <v>1039</v>
      </c>
      <c r="N17" s="92">
        <f>1397-$AD$19</f>
        <v>1390</v>
      </c>
      <c r="O17" s="92">
        <v>17</v>
      </c>
      <c r="P17" s="92">
        <f>$AI$2</f>
        <v>0.54</v>
      </c>
      <c r="Q17" s="92">
        <v>6</v>
      </c>
      <c r="R17" s="92">
        <f t="shared" si="0"/>
        <v>45.57377049180328</v>
      </c>
      <c r="S17" s="93">
        <v>100000</v>
      </c>
      <c r="T17" s="93">
        <v>96000</v>
      </c>
      <c r="U17" s="93">
        <f t="shared" si="13"/>
        <v>187125.02565686317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4" t="s">
        <v>986</v>
      </c>
      <c r="B18" s="95">
        <f>$S18/(1+($AC$2-$O18+$P18)/36500)^$N18</f>
        <v>98613.405453936095</v>
      </c>
      <c r="C18" s="95">
        <f t="shared" si="3"/>
        <v>99217.181543398285</v>
      </c>
      <c r="D18" s="95">
        <f>$S18/(1+($AC$4-$O18+$P18)/36500)^$N18</f>
        <v>99977.112213401109</v>
      </c>
      <c r="E18" s="95">
        <f t="shared" si="5"/>
        <v>100742.8739235378</v>
      </c>
      <c r="F18" s="95">
        <f t="shared" si="6"/>
        <v>101514.51149689525</v>
      </c>
      <c r="G18" s="95">
        <f t="shared" si="7"/>
        <v>102292.07010172079</v>
      </c>
      <c r="H18" s="95">
        <f t="shared" si="8"/>
        <v>103075.5952541124</v>
      </c>
      <c r="I18" s="95">
        <f t="shared" si="9"/>
        <v>103865.13282066579</v>
      </c>
      <c r="J18" s="95">
        <f t="shared" si="10"/>
        <v>104660.72902123263</v>
      </c>
      <c r="K18" s="95">
        <f t="shared" si="11"/>
        <v>105462.43043160041</v>
      </c>
      <c r="L18" s="95">
        <f t="shared" si="12"/>
        <v>100742.8739235378</v>
      </c>
      <c r="M18" s="94" t="s">
        <v>1005</v>
      </c>
      <c r="N18" s="94">
        <f>564-$AD$19</f>
        <v>557</v>
      </c>
      <c r="O18" s="94">
        <v>21</v>
      </c>
      <c r="P18" s="94">
        <f t="shared" ref="P18:P23" si="17">$AI$1</f>
        <v>0.51500000000000001</v>
      </c>
      <c r="Q18" s="94">
        <v>3</v>
      </c>
      <c r="R18" s="94">
        <f t="shared" si="0"/>
        <v>18.262295081967213</v>
      </c>
      <c r="S18" s="95">
        <v>100000</v>
      </c>
      <c r="T18" s="95">
        <v>100000</v>
      </c>
      <c r="U18" s="95">
        <f t="shared" si="13"/>
        <v>136685.32369514485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1036</v>
      </c>
      <c r="AD18" t="s">
        <v>1080</v>
      </c>
      <c r="AF18" s="26"/>
    </row>
    <row r="19" spans="1:32" x14ac:dyDescent="0.25">
      <c r="A19" s="96" t="s">
        <v>987</v>
      </c>
      <c r="B19" s="97">
        <f t="shared" si="2"/>
        <v>91118.264281161872</v>
      </c>
      <c r="C19" s="97">
        <f t="shared" si="3"/>
        <v>91693.151840273727</v>
      </c>
      <c r="D19" s="97">
        <f t="shared" si="4"/>
        <v>92416.873543474809</v>
      </c>
      <c r="E19" s="97">
        <f t="shared" si="5"/>
        <v>93146.317514928931</v>
      </c>
      <c r="F19" s="97">
        <f t="shared" si="6"/>
        <v>93881.529078316002</v>
      </c>
      <c r="G19" s="97">
        <f t="shared" si="7"/>
        <v>94622.55391698645</v>
      </c>
      <c r="H19" s="97">
        <f t="shared" si="8"/>
        <v>95369.438076723978</v>
      </c>
      <c r="I19" s="97">
        <f t="shared" si="9"/>
        <v>96122.227968698237</v>
      </c>
      <c r="J19" s="97">
        <f t="shared" si="10"/>
        <v>96880.970372345429</v>
      </c>
      <c r="K19" s="97">
        <f t="shared" si="11"/>
        <v>97645.712438260496</v>
      </c>
      <c r="L19" s="97">
        <f t="shared" si="12"/>
        <v>93146.317514928931</v>
      </c>
      <c r="M19" s="96" t="s">
        <v>1006</v>
      </c>
      <c r="N19" s="96">
        <f>581-$AD$19</f>
        <v>574</v>
      </c>
      <c r="O19" s="96">
        <v>16</v>
      </c>
      <c r="P19" s="96">
        <f t="shared" si="17"/>
        <v>0.51500000000000001</v>
      </c>
      <c r="Q19" s="96">
        <v>3</v>
      </c>
      <c r="R19" s="96">
        <f t="shared" si="0"/>
        <v>18.819672131147541</v>
      </c>
      <c r="S19" s="97">
        <v>100000</v>
      </c>
      <c r="T19" s="97">
        <v>92000</v>
      </c>
      <c r="U19" s="97">
        <f t="shared" si="13"/>
        <v>127561.24969859658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1089</v>
      </c>
      <c r="AD19">
        <v>7</v>
      </c>
      <c r="AF19" s="26"/>
    </row>
    <row r="20" spans="1:32" x14ac:dyDescent="0.25">
      <c r="A20" s="92" t="s">
        <v>980</v>
      </c>
      <c r="B20" s="93">
        <f>$S20/(1+($AC$2-$O20+$P20)/36500)^$N20</f>
        <v>98442.980852433044</v>
      </c>
      <c r="C20" s="93">
        <f t="shared" si="3"/>
        <v>99120.63518669155</v>
      </c>
      <c r="D20" s="93">
        <f t="shared" si="4"/>
        <v>99974.277286749479</v>
      </c>
      <c r="E20" s="93">
        <f t="shared" si="5"/>
        <v>100835.2829285374</v>
      </c>
      <c r="F20" s="93">
        <f t="shared" si="6"/>
        <v>101703.71573237239</v>
      </c>
      <c r="G20" s="93">
        <f t="shared" si="7"/>
        <v>102579.63986911131</v>
      </c>
      <c r="H20" s="93">
        <f t="shared" si="8"/>
        <v>103463.1200649535</v>
      </c>
      <c r="I20" s="93">
        <f t="shared" si="9"/>
        <v>104354.22160621329</v>
      </c>
      <c r="J20" s="93">
        <f t="shared" si="10"/>
        <v>105253.01034423601</v>
      </c>
      <c r="K20" s="93">
        <f t="shared" si="11"/>
        <v>106159.55270024447</v>
      </c>
      <c r="L20" s="93">
        <f t="shared" si="12"/>
        <v>100835.2829285374</v>
      </c>
      <c r="M20" s="92" t="s">
        <v>1007</v>
      </c>
      <c r="N20" s="92">
        <f>633-$AD$19</f>
        <v>626</v>
      </c>
      <c r="O20" s="92">
        <v>21</v>
      </c>
      <c r="P20" s="92">
        <f t="shared" si="17"/>
        <v>0.51500000000000001</v>
      </c>
      <c r="Q20" s="92">
        <v>3</v>
      </c>
      <c r="R20" s="92">
        <f t="shared" si="0"/>
        <v>20.524590163934427</v>
      </c>
      <c r="S20" s="93">
        <v>100000</v>
      </c>
      <c r="T20" s="93">
        <v>100000</v>
      </c>
      <c r="U20" s="93">
        <f t="shared" si="13"/>
        <v>142080.61560099479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4" t="s">
        <v>973</v>
      </c>
      <c r="B21" s="95">
        <f t="shared" si="2"/>
        <v>98275.314332592941</v>
      </c>
      <c r="C21" s="95">
        <f t="shared" si="3"/>
        <v>99025.579967936676</v>
      </c>
      <c r="D21" s="95">
        <f t="shared" si="4"/>
        <v>99971.483524638737</v>
      </c>
      <c r="E21" s="95">
        <f t="shared" si="5"/>
        <v>100926.43560297029</v>
      </c>
      <c r="F21" s="95">
        <f t="shared" si="6"/>
        <v>101890.52288691656</v>
      </c>
      <c r="G21" s="95">
        <f t="shared" si="7"/>
        <v>102863.83289207319</v>
      </c>
      <c r="H21" s="95">
        <f t="shared" si="8"/>
        <v>103846.45397367052</v>
      </c>
      <c r="I21" s="95">
        <f t="shared" si="9"/>
        <v>104838.47533459462</v>
      </c>
      <c r="J21" s="95">
        <f t="shared" si="10"/>
        <v>105839.98703359968</v>
      </c>
      <c r="K21" s="95">
        <f t="shared" si="11"/>
        <v>106851.07999347411</v>
      </c>
      <c r="L21" s="95">
        <f t="shared" si="12"/>
        <v>100926.43560297029</v>
      </c>
      <c r="M21" s="94" t="s">
        <v>1008</v>
      </c>
      <c r="N21" s="94">
        <f>701-$AD$19</f>
        <v>694</v>
      </c>
      <c r="O21" s="94">
        <v>21</v>
      </c>
      <c r="P21" s="94">
        <f t="shared" si="17"/>
        <v>0.51500000000000001</v>
      </c>
      <c r="Q21" s="94">
        <v>3</v>
      </c>
      <c r="R21" s="94">
        <f t="shared" si="0"/>
        <v>22.754098360655739</v>
      </c>
      <c r="S21" s="95">
        <v>100000</v>
      </c>
      <c r="T21" s="95">
        <v>100000</v>
      </c>
      <c r="U21" s="95">
        <f t="shared" si="13"/>
        <v>147606.03311362845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6" t="s">
        <v>988</v>
      </c>
      <c r="B22" s="97">
        <f t="shared" si="2"/>
        <v>92558.388798042724</v>
      </c>
      <c r="C22" s="97">
        <f t="shared" si="3"/>
        <v>93292.548753978641</v>
      </c>
      <c r="D22" s="97">
        <f t="shared" si="4"/>
        <v>94218.454522620159</v>
      </c>
      <c r="E22" s="97">
        <f t="shared" si="5"/>
        <v>95153.562551854877</v>
      </c>
      <c r="F22" s="97">
        <f t="shared" si="6"/>
        <v>96097.964427750776</v>
      </c>
      <c r="G22" s="97">
        <f t="shared" si="7"/>
        <v>97051.752649127404</v>
      </c>
      <c r="H22" s="97">
        <f t="shared" si="8"/>
        <v>98015.02063674487</v>
      </c>
      <c r="I22" s="97">
        <f t="shared" si="9"/>
        <v>98987.862742412472</v>
      </c>
      <c r="J22" s="97">
        <f t="shared" si="10"/>
        <v>99970.374258395546</v>
      </c>
      <c r="K22" s="97">
        <f t="shared" si="11"/>
        <v>100962.6514266828</v>
      </c>
      <c r="L22" s="97">
        <f t="shared" si="12"/>
        <v>95153.562551854877</v>
      </c>
      <c r="M22" s="96" t="s">
        <v>1037</v>
      </c>
      <c r="N22" s="96">
        <f>728-$AD$19</f>
        <v>721</v>
      </c>
      <c r="O22" s="96">
        <v>18</v>
      </c>
      <c r="P22" s="96">
        <f t="shared" si="17"/>
        <v>0.51500000000000001</v>
      </c>
      <c r="Q22" s="96">
        <v>3</v>
      </c>
      <c r="R22" s="96">
        <f t="shared" si="0"/>
        <v>23.639344262295083</v>
      </c>
      <c r="S22" s="97">
        <v>100000</v>
      </c>
      <c r="T22" s="97">
        <v>95000</v>
      </c>
      <c r="U22" s="97">
        <f t="shared" si="13"/>
        <v>141236.96606051028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2" t="s">
        <v>989</v>
      </c>
      <c r="B23" s="93">
        <f t="shared" si="2"/>
        <v>89799.061153063507</v>
      </c>
      <c r="C23" s="93">
        <f t="shared" si="3"/>
        <v>90454.783276227565</v>
      </c>
      <c r="D23" s="93">
        <f t="shared" si="4"/>
        <v>91281.183593135225</v>
      </c>
      <c r="E23" s="93">
        <f t="shared" si="5"/>
        <v>92115.145427350479</v>
      </c>
      <c r="F23" s="93">
        <f t="shared" si="6"/>
        <v>92956.738071301035</v>
      </c>
      <c r="G23" s="93">
        <f t="shared" si="7"/>
        <v>93806.031453420408</v>
      </c>
      <c r="H23" s="93">
        <f t="shared" si="8"/>
        <v>94663.096143884512</v>
      </c>
      <c r="I23" s="93">
        <f t="shared" si="9"/>
        <v>95528.003360592193</v>
      </c>
      <c r="J23" s="93">
        <f t="shared" si="10"/>
        <v>96400.824975091993</v>
      </c>
      <c r="K23" s="93">
        <f t="shared" si="11"/>
        <v>97281.633518550734</v>
      </c>
      <c r="L23" s="93">
        <f t="shared" si="12"/>
        <v>92115.145427350479</v>
      </c>
      <c r="M23" s="92" t="s">
        <v>1009</v>
      </c>
      <c r="N23" s="92">
        <f>671-$AD$19</f>
        <v>664</v>
      </c>
      <c r="O23" s="92">
        <v>16</v>
      </c>
      <c r="P23" s="92">
        <f t="shared" si="17"/>
        <v>0.51500000000000001</v>
      </c>
      <c r="Q23" s="92">
        <v>3</v>
      </c>
      <c r="R23" s="92">
        <f t="shared" si="0"/>
        <v>21.770491803278688</v>
      </c>
      <c r="S23" s="93">
        <v>100000</v>
      </c>
      <c r="T23" s="93">
        <v>90600</v>
      </c>
      <c r="U23" s="93">
        <f t="shared" si="13"/>
        <v>132524.10452162643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976</v>
      </c>
      <c r="AD23" t="s">
        <v>1090</v>
      </c>
      <c r="AE23" s="25"/>
      <c r="AF23" s="26"/>
    </row>
    <row r="24" spans="1:32" x14ac:dyDescent="0.25">
      <c r="A24" s="94" t="s">
        <v>990</v>
      </c>
      <c r="B24" s="95">
        <f t="shared" si="2"/>
        <v>83032.648801782212</v>
      </c>
      <c r="C24" s="95">
        <f t="shared" si="3"/>
        <v>83927.196858222043</v>
      </c>
      <c r="D24" s="95">
        <f>$S24/(1+($AC$4-$O24+$P24)/36500)^$N24</f>
        <v>85058.960665236125</v>
      </c>
      <c r="E24" s="95">
        <f t="shared" si="5"/>
        <v>86206.002197761132</v>
      </c>
      <c r="F24" s="95">
        <f t="shared" si="6"/>
        <v>87368.527903942653</v>
      </c>
      <c r="G24" s="95">
        <f t="shared" si="7"/>
        <v>88546.747024572192</v>
      </c>
      <c r="H24" s="95">
        <f t="shared" si="8"/>
        <v>89740.871630798312</v>
      </c>
      <c r="I24" s="95">
        <f t="shared" si="9"/>
        <v>90951.116662624234</v>
      </c>
      <c r="J24" s="95">
        <f t="shared" si="10"/>
        <v>92177.699967578374</v>
      </c>
      <c r="K24" s="95">
        <f t="shared" si="11"/>
        <v>93420.84234023992</v>
      </c>
      <c r="L24" s="95">
        <f t="shared" si="12"/>
        <v>86206.002197761132</v>
      </c>
      <c r="M24" s="94" t="s">
        <v>1010</v>
      </c>
      <c r="N24" s="94">
        <f>985-$AD$19</f>
        <v>978</v>
      </c>
      <c r="O24" s="94">
        <v>15</v>
      </c>
      <c r="P24" s="94">
        <f>$AI$2</f>
        <v>0.54</v>
      </c>
      <c r="Q24" s="94">
        <v>6</v>
      </c>
      <c r="R24" s="94">
        <f t="shared" si="0"/>
        <v>32.065573770491802</v>
      </c>
      <c r="S24" s="95">
        <v>100000</v>
      </c>
      <c r="T24" s="95">
        <v>85800</v>
      </c>
      <c r="U24" s="95">
        <f t="shared" si="13"/>
        <v>147299.59905492619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6" t="s">
        <v>964</v>
      </c>
      <c r="B25" s="97">
        <f t="shared" si="2"/>
        <v>81166.943277569735</v>
      </c>
      <c r="C25" s="97">
        <f t="shared" si="3"/>
        <v>81484.03952039365</v>
      </c>
      <c r="D25" s="97">
        <f t="shared" si="4"/>
        <v>81882.157377821699</v>
      </c>
      <c r="E25" s="97">
        <f t="shared" si="5"/>
        <v>82282.225865435714</v>
      </c>
      <c r="F25" s="97">
        <f t="shared" si="6"/>
        <v>82684.254567513679</v>
      </c>
      <c r="G25" s="97">
        <f t="shared" si="7"/>
        <v>83088.253115538348</v>
      </c>
      <c r="H25" s="97">
        <f t="shared" si="8"/>
        <v>83494.231188468591</v>
      </c>
      <c r="I25" s="97">
        <f t="shared" si="9"/>
        <v>83902.198512939794</v>
      </c>
      <c r="J25" s="97">
        <f t="shared" si="10"/>
        <v>84312.164863520913</v>
      </c>
      <c r="K25" s="97">
        <f t="shared" si="11"/>
        <v>84724.14006295662</v>
      </c>
      <c r="L25" s="97">
        <f t="shared" si="12"/>
        <v>82282.225865435714</v>
      </c>
      <c r="M25" s="96" t="s">
        <v>1011</v>
      </c>
      <c r="N25" s="96">
        <f>363-$AD$19</f>
        <v>356</v>
      </c>
      <c r="O25" s="96">
        <v>0</v>
      </c>
      <c r="P25" s="96">
        <v>0</v>
      </c>
      <c r="Q25" s="96">
        <v>0</v>
      </c>
      <c r="R25" s="96">
        <f t="shared" si="0"/>
        <v>11.672131147540984</v>
      </c>
      <c r="S25" s="97">
        <v>100000</v>
      </c>
      <c r="T25" s="97">
        <v>82800</v>
      </c>
      <c r="U25" s="97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2" t="s">
        <v>999</v>
      </c>
      <c r="B26" s="93">
        <f t="shared" si="2"/>
        <v>93507.59424246948</v>
      </c>
      <c r="C26" s="93">
        <f t="shared" si="3"/>
        <v>94810.777635833176</v>
      </c>
      <c r="D26" s="93">
        <f t="shared" si="4"/>
        <v>96465.347380517152</v>
      </c>
      <c r="E26" s="93">
        <f t="shared" si="5"/>
        <v>98148.814751050406</v>
      </c>
      <c r="F26" s="93">
        <f t="shared" si="6"/>
        <v>99861.684860628535</v>
      </c>
      <c r="G26" s="93">
        <f t="shared" si="7"/>
        <v>101604.47165857966</v>
      </c>
      <c r="H26" s="93">
        <f t="shared" si="8"/>
        <v>103377.69808514608</v>
      </c>
      <c r="I26" s="93">
        <f t="shared" si="9"/>
        <v>105181.89622883729</v>
      </c>
      <c r="J26" s="93">
        <f t="shared" si="10"/>
        <v>107017.60748659962</v>
      </c>
      <c r="K26" s="93">
        <f t="shared" si="11"/>
        <v>108885.38272685283</v>
      </c>
      <c r="L26" s="93">
        <f t="shared" si="12"/>
        <v>98148.814751050406</v>
      </c>
      <c r="M26" s="92" t="s">
        <v>1002</v>
      </c>
      <c r="N26" s="92">
        <f>1270-$AD$19</f>
        <v>1263</v>
      </c>
      <c r="O26" s="92">
        <v>20</v>
      </c>
      <c r="P26" s="92">
        <f>$AI$2</f>
        <v>0.54</v>
      </c>
      <c r="Q26" s="92">
        <v>6</v>
      </c>
      <c r="R26" s="92">
        <f t="shared" si="0"/>
        <v>41.409836065573771</v>
      </c>
      <c r="S26" s="93">
        <v>100000</v>
      </c>
      <c r="T26" s="93">
        <v>100000</v>
      </c>
      <c r="U26" s="93">
        <f t="shared" si="13"/>
        <v>196041.09235112596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4" t="s">
        <v>1003</v>
      </c>
      <c r="B27" s="95">
        <f t="shared" si="2"/>
        <v>100080.84097198358</v>
      </c>
      <c r="C27" s="95">
        <f t="shared" si="3"/>
        <v>100462.14988888617</v>
      </c>
      <c r="D27" s="95">
        <f t="shared" si="4"/>
        <v>100940.83558546389</v>
      </c>
      <c r="E27" s="95">
        <f t="shared" si="5"/>
        <v>101421.8087454928</v>
      </c>
      <c r="F27" s="95">
        <f t="shared" si="6"/>
        <v>101905.08033148815</v>
      </c>
      <c r="G27" s="95">
        <f t="shared" si="7"/>
        <v>102390.66135863888</v>
      </c>
      <c r="H27" s="95">
        <f t="shared" si="8"/>
        <v>102878.56289509476</v>
      </c>
      <c r="I27" s="95">
        <f t="shared" si="9"/>
        <v>103368.7960621938</v>
      </c>
      <c r="J27" s="95">
        <f t="shared" si="10"/>
        <v>103861.37203472677</v>
      </c>
      <c r="K27" s="95">
        <f t="shared" si="11"/>
        <v>104356.30204119867</v>
      </c>
      <c r="L27" s="95">
        <f t="shared" si="12"/>
        <v>101421.8087454928</v>
      </c>
      <c r="M27" s="94" t="s">
        <v>1004</v>
      </c>
      <c r="N27" s="94">
        <f>354-$AD$19</f>
        <v>347</v>
      </c>
      <c r="O27" s="94">
        <v>22</v>
      </c>
      <c r="P27" s="94">
        <f>AI1</f>
        <v>0.51500000000000001</v>
      </c>
      <c r="Q27" s="94">
        <v>3</v>
      </c>
      <c r="R27" s="94">
        <f t="shared" si="0"/>
        <v>11.377049180327869</v>
      </c>
      <c r="S27" s="95">
        <v>100000</v>
      </c>
      <c r="T27" s="95">
        <v>103000</v>
      </c>
      <c r="U27" s="95">
        <f t="shared" si="13"/>
        <v>122653.73555362131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6" t="s">
        <v>1029</v>
      </c>
      <c r="B28" s="97">
        <f t="shared" si="2"/>
        <v>99161.892643551109</v>
      </c>
      <c r="C28" s="97">
        <f t="shared" si="3"/>
        <v>100000</v>
      </c>
      <c r="D28" s="97">
        <f t="shared" si="4"/>
        <v>101057.61563150141</v>
      </c>
      <c r="E28" s="97">
        <f t="shared" si="5"/>
        <v>102126.43148980515</v>
      </c>
      <c r="F28" s="97">
        <f t="shared" si="6"/>
        <v>103206.56634202009</v>
      </c>
      <c r="G28" s="97">
        <f t="shared" si="7"/>
        <v>104298.14021627055</v>
      </c>
      <c r="H28" s="97">
        <f t="shared" si="8"/>
        <v>105401.27441520934</v>
      </c>
      <c r="I28" s="97">
        <f t="shared" si="9"/>
        <v>106516.09152945355</v>
      </c>
      <c r="J28" s="97">
        <f t="shared" si="10"/>
        <v>107642.71545135387</v>
      </c>
      <c r="K28" s="97">
        <f t="shared" si="11"/>
        <v>108781.27138879277</v>
      </c>
      <c r="L28" s="97">
        <f t="shared" si="12"/>
        <v>102126.43148980515</v>
      </c>
      <c r="M28" s="96" t="s">
        <v>1030</v>
      </c>
      <c r="N28" s="96">
        <f>775-$AD$19</f>
        <v>768</v>
      </c>
      <c r="O28" s="96">
        <v>21</v>
      </c>
      <c r="P28" s="96">
        <v>0</v>
      </c>
      <c r="Q28" s="96">
        <v>1</v>
      </c>
      <c r="R28" s="96">
        <f t="shared" si="0"/>
        <v>25.180327868852459</v>
      </c>
      <c r="S28" s="97">
        <v>100000</v>
      </c>
      <c r="T28" s="97">
        <v>104000</v>
      </c>
      <c r="U28" s="97">
        <f t="shared" si="13"/>
        <v>155539.74559574382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7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2" t="s">
        <v>1084</v>
      </c>
      <c r="B29" s="93">
        <f t="shared" si="2"/>
        <v>83595.432754614099</v>
      </c>
      <c r="C29" s="93">
        <f t="shared" si="3"/>
        <v>84817.05064418423</v>
      </c>
      <c r="D29" s="93">
        <f t="shared" si="4"/>
        <v>86369.227255068967</v>
      </c>
      <c r="E29" s="93">
        <f t="shared" si="5"/>
        <v>87949.830994316231</v>
      </c>
      <c r="F29" s="93">
        <f t="shared" si="6"/>
        <v>89559.38288677625</v>
      </c>
      <c r="G29" s="93">
        <f t="shared" si="7"/>
        <v>91198.413514292464</v>
      </c>
      <c r="H29" s="93">
        <f t="shared" si="8"/>
        <v>92867.463191062532</v>
      </c>
      <c r="I29" s="93">
        <f t="shared" si="9"/>
        <v>94567.082142140847</v>
      </c>
      <c r="J29" s="93">
        <f t="shared" si="10"/>
        <v>96297.830685701891</v>
      </c>
      <c r="K29" s="93">
        <f t="shared" si="11"/>
        <v>98060.279417977596</v>
      </c>
      <c r="L29" s="93">
        <f t="shared" si="12"/>
        <v>87949.830994316231</v>
      </c>
      <c r="M29" s="92" t="s">
        <v>1085</v>
      </c>
      <c r="N29" s="92">
        <f>1331-$AD$19</f>
        <v>1324</v>
      </c>
      <c r="O29" s="92">
        <v>17</v>
      </c>
      <c r="P29" s="92">
        <f>AI2</f>
        <v>0.54</v>
      </c>
      <c r="Q29" s="92">
        <v>6</v>
      </c>
      <c r="R29" s="92">
        <f t="shared" si="0"/>
        <v>43.409836065573771</v>
      </c>
      <c r="S29" s="93">
        <v>100000</v>
      </c>
      <c r="T29" s="93"/>
      <c r="U29" s="93">
        <f t="shared" si="13"/>
        <v>181639.58600999002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8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8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8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8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1098</v>
      </c>
    </row>
    <row r="2" spans="1:1" x14ac:dyDescent="0.25">
      <c r="A2" t="s">
        <v>1099</v>
      </c>
    </row>
    <row r="3" spans="1:1" x14ac:dyDescent="0.25">
      <c r="A3" t="s">
        <v>1100</v>
      </c>
    </row>
    <row r="4" spans="1:1" x14ac:dyDescent="0.25">
      <c r="A4" t="s">
        <v>1101</v>
      </c>
    </row>
    <row r="5" spans="1:1" x14ac:dyDescent="0.25">
      <c r="A5" t="s">
        <v>1102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937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937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937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937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937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937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937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937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937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815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921</v>
      </c>
      <c r="B13" s="3">
        <v>436</v>
      </c>
      <c r="C13" s="11" t="s">
        <v>830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833</v>
      </c>
      <c r="B14" s="3">
        <v>1000000</v>
      </c>
      <c r="C14" s="11" t="s">
        <v>836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838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838</v>
      </c>
      <c r="B16" s="3">
        <v>-70600</v>
      </c>
      <c r="C16" s="11" t="s">
        <v>839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838</v>
      </c>
      <c r="B17" s="3">
        <v>-450030</v>
      </c>
      <c r="C17" s="11" t="s">
        <v>840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841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844</v>
      </c>
      <c r="B19" s="3">
        <v>-26000</v>
      </c>
      <c r="C19" s="11" t="s">
        <v>845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849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851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854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857</v>
      </c>
      <c r="B23" s="3">
        <v>-95500</v>
      </c>
      <c r="C23" s="11" t="s">
        <v>858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859</v>
      </c>
      <c r="B24" s="3">
        <v>2000000</v>
      </c>
      <c r="C24" s="11" t="s">
        <v>860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859</v>
      </c>
      <c r="B25" s="3">
        <v>-131450</v>
      </c>
      <c r="C25" s="11" t="s">
        <v>862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864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865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866</v>
      </c>
      <c r="B28" s="3">
        <v>-180500</v>
      </c>
      <c r="C28" s="11" t="s">
        <v>867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869</v>
      </c>
      <c r="B29" s="35">
        <v>7117</v>
      </c>
      <c r="C29" s="11" t="s">
        <v>876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884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890</v>
      </c>
      <c r="B31" s="3">
        <v>-47053</v>
      </c>
      <c r="C31" s="11" t="s">
        <v>891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892</v>
      </c>
      <c r="B32" s="3">
        <v>-33870</v>
      </c>
      <c r="C32" s="11" t="s">
        <v>893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894</v>
      </c>
      <c r="B33" s="3">
        <v>-22000</v>
      </c>
      <c r="C33" s="11" t="s">
        <v>895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894</v>
      </c>
      <c r="B34" s="3">
        <v>-250000</v>
      </c>
      <c r="C34" s="11" t="s">
        <v>896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894</v>
      </c>
      <c r="B35" s="3">
        <v>-650500</v>
      </c>
      <c r="C35" s="11" t="s">
        <v>897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898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899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922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923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924</v>
      </c>
      <c r="B40" s="3">
        <v>-30000</v>
      </c>
      <c r="C40" s="11" t="s">
        <v>925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907</v>
      </c>
      <c r="B41" s="3">
        <v>7481</v>
      </c>
      <c r="C41" s="11" t="s">
        <v>926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910</v>
      </c>
      <c r="B42" s="3">
        <v>1000000</v>
      </c>
      <c r="C42" s="11" t="s">
        <v>911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927</v>
      </c>
      <c r="B43" s="3">
        <v>-39330</v>
      </c>
      <c r="C43" s="11" t="s">
        <v>913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928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912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914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929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930</v>
      </c>
      <c r="B48" s="3">
        <v>-83000</v>
      </c>
      <c r="C48" s="11" t="s">
        <v>931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932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933</v>
      </c>
      <c r="B50" s="3">
        <v>-180000</v>
      </c>
      <c r="C50" s="11" t="s">
        <v>934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935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936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946</v>
      </c>
      <c r="B53" s="3">
        <v>-22000</v>
      </c>
      <c r="C53" s="11" t="s">
        <v>947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940</v>
      </c>
      <c r="B54" s="3">
        <v>999000</v>
      </c>
      <c r="C54" s="11" t="s">
        <v>944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940</v>
      </c>
      <c r="B55" s="3">
        <v>106900</v>
      </c>
      <c r="C55" s="11" t="s">
        <v>945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940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951</v>
      </c>
      <c r="B57" s="3">
        <v>-18400</v>
      </c>
      <c r="C57" s="11" t="s">
        <v>891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960</v>
      </c>
      <c r="B58" s="3">
        <v>-457777</v>
      </c>
      <c r="C58" s="11" t="s">
        <v>953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1078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1056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1074</v>
      </c>
      <c r="B61" s="3">
        <v>4172</v>
      </c>
      <c r="C61" s="11" t="s">
        <v>1076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1080</v>
      </c>
      <c r="B62" s="3">
        <v>-161000</v>
      </c>
      <c r="C62" s="11" t="s">
        <v>1088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1094</v>
      </c>
      <c r="B63" s="3">
        <v>-149505</v>
      </c>
      <c r="C63" s="11" t="s">
        <v>1095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1107</v>
      </c>
      <c r="B64" s="3">
        <v>-4940</v>
      </c>
      <c r="C64" s="11" t="s">
        <v>1111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3" sqref="G19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662</v>
      </c>
      <c r="E2" s="11">
        <f>IF(B2&gt;0,1,0)</f>
        <v>1</v>
      </c>
      <c r="F2" s="11">
        <f>B2*(D2-E2)</f>
        <v>63918700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660</v>
      </c>
      <c r="E3" s="11">
        <f t="shared" ref="E3:E66" si="1">IF(B3&gt;0,1,0)</f>
        <v>1</v>
      </c>
      <c r="F3" s="11">
        <f t="shared" ref="F3:F66" si="2">B3*(D3-E3)</f>
        <v>1977000000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657</v>
      </c>
      <c r="E4" s="11">
        <f t="shared" si="1"/>
        <v>0</v>
      </c>
      <c r="F4" s="11">
        <f t="shared" si="2"/>
        <v>-131400000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655</v>
      </c>
      <c r="E5" s="11">
        <f t="shared" si="1"/>
        <v>0</v>
      </c>
      <c r="F5" s="11">
        <f t="shared" si="2"/>
        <v>-65500000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654</v>
      </c>
      <c r="E6" s="11">
        <f t="shared" si="1"/>
        <v>0</v>
      </c>
      <c r="F6" s="11">
        <f t="shared" si="2"/>
        <v>-35970000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653</v>
      </c>
      <c r="E7" s="11">
        <f t="shared" si="1"/>
        <v>0</v>
      </c>
      <c r="F7" s="11">
        <f t="shared" si="2"/>
        <v>-130600000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649</v>
      </c>
      <c r="E8" s="11">
        <f t="shared" si="1"/>
        <v>0</v>
      </c>
      <c r="F8" s="11">
        <f t="shared" si="2"/>
        <v>-129800000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639</v>
      </c>
      <c r="E9" s="11">
        <f t="shared" si="1"/>
        <v>0</v>
      </c>
      <c r="F9" s="11">
        <f t="shared" si="2"/>
        <v>-607369500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638</v>
      </c>
      <c r="E10" s="11">
        <f t="shared" si="1"/>
        <v>1</v>
      </c>
      <c r="F10" s="11">
        <f t="shared" si="2"/>
        <v>1274000000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636</v>
      </c>
      <c r="E11" s="11">
        <f t="shared" si="1"/>
        <v>0</v>
      </c>
      <c r="F11" s="11">
        <f t="shared" si="2"/>
        <v>-677340000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633</v>
      </c>
      <c r="E12" s="11">
        <f t="shared" si="1"/>
        <v>0</v>
      </c>
      <c r="F12" s="11">
        <f t="shared" si="2"/>
        <v>-28485000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632</v>
      </c>
      <c r="E13" s="11">
        <f t="shared" si="1"/>
        <v>0</v>
      </c>
      <c r="F13" s="11">
        <f t="shared" si="2"/>
        <v>-1264442400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628</v>
      </c>
      <c r="E14" s="11">
        <f t="shared" si="1"/>
        <v>0</v>
      </c>
      <c r="F14" s="11">
        <f t="shared" si="2"/>
        <v>-125600000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626</v>
      </c>
      <c r="E15" s="11">
        <f t="shared" si="1"/>
        <v>1</v>
      </c>
      <c r="F15" s="11">
        <f t="shared" si="2"/>
        <v>1250000000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626</v>
      </c>
      <c r="E16" s="11">
        <f t="shared" si="1"/>
        <v>1</v>
      </c>
      <c r="F16" s="11">
        <f t="shared" si="2"/>
        <v>1250000000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626</v>
      </c>
      <c r="E17" s="11">
        <f t="shared" si="1"/>
        <v>1</v>
      </c>
      <c r="F17" s="11">
        <f t="shared" si="2"/>
        <v>750000000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626</v>
      </c>
      <c r="E18" s="11">
        <f t="shared" si="1"/>
        <v>1</v>
      </c>
      <c r="F18" s="11">
        <f t="shared" si="2"/>
        <v>625000000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625</v>
      </c>
      <c r="E19" s="11">
        <f t="shared" si="1"/>
        <v>1</v>
      </c>
      <c r="F19" s="11">
        <f t="shared" si="2"/>
        <v>1872000000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625</v>
      </c>
      <c r="E20" s="11">
        <f t="shared" si="1"/>
        <v>0</v>
      </c>
      <c r="F20" s="11">
        <f t="shared" si="2"/>
        <v>-270437500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625</v>
      </c>
      <c r="E21" s="11">
        <f t="shared" si="1"/>
        <v>0</v>
      </c>
      <c r="F21" s="11">
        <f t="shared" si="2"/>
        <v>-270437500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625</v>
      </c>
      <c r="E22" s="11">
        <f t="shared" si="1"/>
        <v>0</v>
      </c>
      <c r="F22" s="11">
        <f t="shared" si="2"/>
        <v>-270437500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625</v>
      </c>
      <c r="E23" s="11">
        <f t="shared" si="1"/>
        <v>0</v>
      </c>
      <c r="F23" s="11">
        <f t="shared" si="2"/>
        <v>-270437500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625</v>
      </c>
      <c r="E24" s="11">
        <f t="shared" si="1"/>
        <v>0</v>
      </c>
      <c r="F24" s="11">
        <f t="shared" si="2"/>
        <v>-270437500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625</v>
      </c>
      <c r="E25" s="11">
        <f t="shared" si="1"/>
        <v>0</v>
      </c>
      <c r="F25" s="11">
        <f t="shared" si="2"/>
        <v>-125000000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624</v>
      </c>
      <c r="E26" s="11">
        <f t="shared" si="1"/>
        <v>1</v>
      </c>
      <c r="F26" s="11">
        <f t="shared" si="2"/>
        <v>1869000000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622</v>
      </c>
      <c r="E27" s="11">
        <f t="shared" si="1"/>
        <v>0</v>
      </c>
      <c r="F27" s="11">
        <f t="shared" si="2"/>
        <v>-124400000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621</v>
      </c>
      <c r="E28" s="11">
        <f t="shared" si="1"/>
        <v>1</v>
      </c>
      <c r="F28" s="11">
        <f t="shared" si="2"/>
        <v>1240000000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620</v>
      </c>
      <c r="E29" s="11">
        <f t="shared" si="1"/>
        <v>0</v>
      </c>
      <c r="F29" s="11">
        <f t="shared" si="2"/>
        <v>-4340496000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619</v>
      </c>
      <c r="E30" s="11">
        <f t="shared" si="1"/>
        <v>0</v>
      </c>
      <c r="F30" s="11">
        <f t="shared" si="2"/>
        <v>-1857557100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618</v>
      </c>
      <c r="E31" s="11">
        <f t="shared" si="1"/>
        <v>0</v>
      </c>
      <c r="F31" s="11">
        <f t="shared" si="2"/>
        <v>-1048066200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615</v>
      </c>
      <c r="E32" s="11">
        <f t="shared" si="1"/>
        <v>1</v>
      </c>
      <c r="F32" s="11">
        <f t="shared" si="2"/>
        <v>610500200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609</v>
      </c>
      <c r="E33" s="11">
        <f t="shared" si="1"/>
        <v>1</v>
      </c>
      <c r="F33" s="11">
        <f t="shared" si="2"/>
        <v>21335328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608</v>
      </c>
      <c r="E34" s="11">
        <f t="shared" si="1"/>
        <v>0</v>
      </c>
      <c r="F34" s="11">
        <f t="shared" si="2"/>
        <v>-516800000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600</v>
      </c>
      <c r="E35" s="11">
        <f t="shared" si="1"/>
        <v>0</v>
      </c>
      <c r="F35" s="11">
        <f t="shared" si="2"/>
        <v>-114300000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599</v>
      </c>
      <c r="E36" s="11">
        <f t="shared" si="1"/>
        <v>1</v>
      </c>
      <c r="F36" s="11">
        <f t="shared" si="2"/>
        <v>119600000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599</v>
      </c>
      <c r="E37" s="11">
        <f t="shared" si="1"/>
        <v>0</v>
      </c>
      <c r="F37" s="11">
        <f t="shared" si="2"/>
        <v>-119800000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577</v>
      </c>
      <c r="E38" s="11">
        <f t="shared" si="1"/>
        <v>1</v>
      </c>
      <c r="F38" s="11">
        <f t="shared" si="2"/>
        <v>173264256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576</v>
      </c>
      <c r="E39" s="11">
        <f t="shared" si="1"/>
        <v>0</v>
      </c>
      <c r="F39" s="11">
        <f t="shared" si="2"/>
        <v>-54720000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576</v>
      </c>
      <c r="E40" s="11">
        <f t="shared" si="1"/>
        <v>0</v>
      </c>
      <c r="F40" s="11">
        <f t="shared" si="2"/>
        <v>-50747328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571</v>
      </c>
      <c r="E41" s="11">
        <f t="shared" si="1"/>
        <v>0</v>
      </c>
      <c r="F41" s="11">
        <f t="shared" si="2"/>
        <v>-68520000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549</v>
      </c>
      <c r="E42" s="11">
        <f t="shared" si="1"/>
        <v>1</v>
      </c>
      <c r="F42" s="11">
        <f t="shared" si="2"/>
        <v>548111792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545</v>
      </c>
      <c r="E43" s="11">
        <f t="shared" si="1"/>
        <v>0</v>
      </c>
      <c r="F43" s="11">
        <f t="shared" si="2"/>
        <v>-43600000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541</v>
      </c>
      <c r="E44" s="11">
        <f t="shared" si="1"/>
        <v>0</v>
      </c>
      <c r="F44" s="11">
        <f t="shared" si="2"/>
        <v>-114166689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540</v>
      </c>
      <c r="E45" s="11">
        <f t="shared" si="1"/>
        <v>0</v>
      </c>
      <c r="F45" s="11">
        <f t="shared" si="2"/>
        <v>-108000000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539</v>
      </c>
      <c r="E46" s="11">
        <f t="shared" si="1"/>
        <v>0</v>
      </c>
      <c r="F46" s="11">
        <f t="shared" si="2"/>
        <v>-51205000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537</v>
      </c>
      <c r="E47" s="11">
        <f t="shared" si="1"/>
        <v>0</v>
      </c>
      <c r="F47" s="11">
        <f t="shared" si="2"/>
        <v>-24165000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537</v>
      </c>
      <c r="E48" s="11">
        <f t="shared" si="1"/>
        <v>0</v>
      </c>
      <c r="F48" s="11">
        <f t="shared" si="2"/>
        <v>-34464660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534</v>
      </c>
      <c r="E49" s="11">
        <f t="shared" si="1"/>
        <v>0</v>
      </c>
      <c r="F49" s="11">
        <f t="shared" si="2"/>
        <v>-14676456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533</v>
      </c>
      <c r="E50" s="11">
        <f t="shared" si="1"/>
        <v>0</v>
      </c>
      <c r="F50" s="11">
        <f t="shared" si="2"/>
        <v>-75153000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533</v>
      </c>
      <c r="E51" s="11">
        <f t="shared" si="1"/>
        <v>0</v>
      </c>
      <c r="F51" s="11">
        <f t="shared" si="2"/>
        <v>-14255618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532</v>
      </c>
      <c r="E52" s="11">
        <f t="shared" si="1"/>
        <v>0</v>
      </c>
      <c r="F52" s="11">
        <f t="shared" si="2"/>
        <v>-28355600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531</v>
      </c>
      <c r="E53" s="11">
        <f t="shared" si="1"/>
        <v>1</v>
      </c>
      <c r="F53" s="11">
        <f t="shared" si="2"/>
        <v>530000000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525</v>
      </c>
      <c r="E54" s="11">
        <f t="shared" si="1"/>
        <v>0</v>
      </c>
      <c r="F54" s="11">
        <f t="shared" si="2"/>
        <v>-11025000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524</v>
      </c>
      <c r="E55" s="11">
        <f t="shared" si="1"/>
        <v>0</v>
      </c>
      <c r="F55" s="11">
        <f t="shared" si="2"/>
        <v>-513782000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524</v>
      </c>
      <c r="E56" s="11">
        <f t="shared" si="1"/>
        <v>0</v>
      </c>
      <c r="F56" s="11">
        <f t="shared" si="2"/>
        <v>-23580000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511</v>
      </c>
      <c r="E57" s="11">
        <f t="shared" si="1"/>
        <v>1</v>
      </c>
      <c r="F57" s="11">
        <f t="shared" si="2"/>
        <v>1532646390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511</v>
      </c>
      <c r="E58" s="11">
        <f t="shared" si="1"/>
        <v>1</v>
      </c>
      <c r="F58" s="11">
        <f t="shared" si="2"/>
        <v>1020000000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510</v>
      </c>
      <c r="E59" s="11">
        <f t="shared" si="1"/>
        <v>1</v>
      </c>
      <c r="F59" s="11">
        <f t="shared" si="2"/>
        <v>1018000000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510</v>
      </c>
      <c r="E60" s="11">
        <f t="shared" si="1"/>
        <v>0</v>
      </c>
      <c r="F60" s="11">
        <f t="shared" si="2"/>
        <v>-3570765000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486</v>
      </c>
      <c r="E61" s="11">
        <f t="shared" si="1"/>
        <v>1</v>
      </c>
      <c r="F61" s="11">
        <f t="shared" si="2"/>
        <v>1455000000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485</v>
      </c>
      <c r="E62" s="11">
        <f t="shared" si="1"/>
        <v>0</v>
      </c>
      <c r="F62" s="11">
        <f t="shared" si="2"/>
        <v>-13147865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485</v>
      </c>
      <c r="E63" s="11">
        <f t="shared" si="1"/>
        <v>0</v>
      </c>
      <c r="F63" s="11">
        <f t="shared" si="2"/>
        <v>-15999665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485</v>
      </c>
      <c r="E64" s="11">
        <f t="shared" si="1"/>
        <v>1</v>
      </c>
      <c r="F64" s="11">
        <f t="shared" si="2"/>
        <v>1452000000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485</v>
      </c>
      <c r="E65" s="11">
        <f t="shared" si="1"/>
        <v>1</v>
      </c>
      <c r="F65" s="11">
        <f t="shared" si="2"/>
        <v>1437480000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485</v>
      </c>
      <c r="E66" s="11">
        <f t="shared" si="1"/>
        <v>1</v>
      </c>
      <c r="F66" s="11">
        <f t="shared" si="2"/>
        <v>484000000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485</v>
      </c>
      <c r="E67" s="11">
        <f t="shared" ref="E67:E130" si="4">IF(B67&gt;0,1,0)</f>
        <v>1</v>
      </c>
      <c r="F67" s="11">
        <f t="shared" ref="F67:F200" si="5">B67*(D67-E67)</f>
        <v>14520000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484</v>
      </c>
      <c r="E68" s="11">
        <f t="shared" si="4"/>
        <v>1</v>
      </c>
      <c r="F68" s="11">
        <f t="shared" si="5"/>
        <v>14490000000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483</v>
      </c>
      <c r="E69" s="11">
        <f t="shared" si="4"/>
        <v>0</v>
      </c>
      <c r="F69" s="11">
        <f t="shared" si="5"/>
        <v>-96600000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483</v>
      </c>
      <c r="E70" s="11">
        <f t="shared" si="4"/>
        <v>1</v>
      </c>
      <c r="F70" s="11">
        <f t="shared" si="5"/>
        <v>674800000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483</v>
      </c>
      <c r="E71" s="11">
        <f t="shared" si="4"/>
        <v>1</v>
      </c>
      <c r="F71" s="11">
        <f t="shared" si="5"/>
        <v>1253200000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483</v>
      </c>
      <c r="E72" s="11">
        <f t="shared" si="4"/>
        <v>0</v>
      </c>
      <c r="F72" s="11">
        <f t="shared" si="5"/>
        <v>-483000000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481</v>
      </c>
      <c r="E73" s="11">
        <f t="shared" si="4"/>
        <v>1</v>
      </c>
      <c r="F73" s="11">
        <f t="shared" si="5"/>
        <v>7200000000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476</v>
      </c>
      <c r="E74" s="11">
        <f t="shared" si="4"/>
        <v>0</v>
      </c>
      <c r="F74" s="11">
        <f t="shared" si="5"/>
        <v>-7141999200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474</v>
      </c>
      <c r="E75" s="11">
        <f t="shared" si="4"/>
        <v>0</v>
      </c>
      <c r="F75" s="11">
        <f t="shared" si="5"/>
        <v>-1422000000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474</v>
      </c>
      <c r="E76" s="11">
        <f t="shared" si="4"/>
        <v>0</v>
      </c>
      <c r="F76" s="11">
        <f t="shared" si="5"/>
        <v>-94800000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474</v>
      </c>
      <c r="E77" s="11">
        <f t="shared" si="4"/>
        <v>0</v>
      </c>
      <c r="F77" s="11">
        <f t="shared" si="5"/>
        <v>-5689422000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470</v>
      </c>
      <c r="E78" s="11">
        <f t="shared" si="4"/>
        <v>0</v>
      </c>
      <c r="F78" s="11">
        <f t="shared" si="5"/>
        <v>-1410423000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465</v>
      </c>
      <c r="E79" s="11">
        <f t="shared" si="4"/>
        <v>1</v>
      </c>
      <c r="F79" s="11">
        <f t="shared" si="5"/>
        <v>10672000000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460</v>
      </c>
      <c r="E80" s="11">
        <f t="shared" si="4"/>
        <v>0</v>
      </c>
      <c r="F80" s="11">
        <f t="shared" si="5"/>
        <v>-276230000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460</v>
      </c>
      <c r="E81" s="11">
        <f t="shared" si="4"/>
        <v>0</v>
      </c>
      <c r="F81" s="11">
        <f t="shared" si="5"/>
        <v>-92000000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459</v>
      </c>
      <c r="E82" s="11">
        <f t="shared" si="4"/>
        <v>1</v>
      </c>
      <c r="F82" s="11">
        <f t="shared" si="5"/>
        <v>129715218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459</v>
      </c>
      <c r="E83" s="11">
        <f t="shared" si="4"/>
        <v>0</v>
      </c>
      <c r="F83" s="11">
        <f t="shared" si="5"/>
        <v>-91800000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457</v>
      </c>
      <c r="E84" s="11">
        <f t="shared" si="4"/>
        <v>1</v>
      </c>
      <c r="F84" s="11">
        <f t="shared" si="5"/>
        <v>912000000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454</v>
      </c>
      <c r="E85" s="11">
        <f t="shared" si="4"/>
        <v>0</v>
      </c>
      <c r="F85" s="11">
        <f t="shared" si="5"/>
        <v>-90800000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448</v>
      </c>
      <c r="E86" s="11">
        <f t="shared" si="4"/>
        <v>0</v>
      </c>
      <c r="F86" s="11">
        <f t="shared" si="5"/>
        <v>-89600000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446</v>
      </c>
      <c r="E87" s="11">
        <f t="shared" si="4"/>
        <v>0</v>
      </c>
      <c r="F87" s="11">
        <f t="shared" si="5"/>
        <v>-590950000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431</v>
      </c>
      <c r="E88" s="11">
        <f t="shared" si="4"/>
        <v>0</v>
      </c>
      <c r="F88" s="11">
        <f t="shared" si="5"/>
        <v>-215500000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431</v>
      </c>
      <c r="E89" s="11">
        <f t="shared" si="4"/>
        <v>0</v>
      </c>
      <c r="F89" s="11">
        <f t="shared" si="5"/>
        <v>-51720000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429</v>
      </c>
      <c r="E90" s="11">
        <f t="shared" si="4"/>
        <v>1</v>
      </c>
      <c r="F90" s="11">
        <f t="shared" si="5"/>
        <v>183271740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426</v>
      </c>
      <c r="E91" s="11">
        <f t="shared" si="4"/>
        <v>0</v>
      </c>
      <c r="F91" s="11">
        <f t="shared" si="5"/>
        <v>-1278852000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424</v>
      </c>
      <c r="E92" s="11">
        <f t="shared" si="4"/>
        <v>0</v>
      </c>
      <c r="F92" s="11">
        <f t="shared" si="5"/>
        <v>-86920000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424</v>
      </c>
      <c r="E93" s="11">
        <f t="shared" si="4"/>
        <v>0</v>
      </c>
      <c r="F93" s="11">
        <f t="shared" si="5"/>
        <v>-148612000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413</v>
      </c>
      <c r="E94" s="11">
        <f t="shared" si="4"/>
        <v>1</v>
      </c>
      <c r="F94" s="11">
        <f t="shared" si="5"/>
        <v>412000000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408</v>
      </c>
      <c r="E95" s="11">
        <f t="shared" si="4"/>
        <v>1</v>
      </c>
      <c r="F95" s="11">
        <f t="shared" si="5"/>
        <v>3663000000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406</v>
      </c>
      <c r="E96" s="11">
        <f t="shared" si="4"/>
        <v>0</v>
      </c>
      <c r="F96" s="11">
        <f t="shared" si="5"/>
        <v>-10556000000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406</v>
      </c>
      <c r="E97" s="11">
        <f t="shared" si="4"/>
        <v>0</v>
      </c>
      <c r="F97" s="11">
        <f t="shared" si="5"/>
        <v>-10556000000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406</v>
      </c>
      <c r="E98" s="11">
        <f t="shared" si="4"/>
        <v>1</v>
      </c>
      <c r="F98" s="11">
        <f t="shared" si="5"/>
        <v>10530000000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406</v>
      </c>
      <c r="E99" s="11">
        <f t="shared" si="4"/>
        <v>0</v>
      </c>
      <c r="F99" s="11">
        <f t="shared" si="5"/>
        <v>-81200000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404</v>
      </c>
      <c r="E100" s="11">
        <f t="shared" si="4"/>
        <v>1</v>
      </c>
      <c r="F100" s="11">
        <f t="shared" si="5"/>
        <v>11767600000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399</v>
      </c>
      <c r="E101" s="11">
        <f t="shared" si="4"/>
        <v>1</v>
      </c>
      <c r="F101" s="11">
        <f t="shared" si="5"/>
        <v>159178110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398</v>
      </c>
      <c r="E102" s="11">
        <f t="shared" si="4"/>
        <v>1</v>
      </c>
      <c r="F102" s="11">
        <f t="shared" si="5"/>
        <v>794000000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397</v>
      </c>
      <c r="E103" s="11">
        <f t="shared" si="4"/>
        <v>1</v>
      </c>
      <c r="F103" s="11">
        <f t="shared" si="5"/>
        <v>2970000000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397</v>
      </c>
      <c r="E104" s="11">
        <f t="shared" si="4"/>
        <v>0</v>
      </c>
      <c r="F104" s="11">
        <f t="shared" si="5"/>
        <v>-26202000000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397</v>
      </c>
      <c r="E105" s="11">
        <f t="shared" si="4"/>
        <v>0</v>
      </c>
      <c r="F105" s="11">
        <f t="shared" si="5"/>
        <v>-57565000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395</v>
      </c>
      <c r="E106" s="11">
        <f t="shared" si="4"/>
        <v>1</v>
      </c>
      <c r="F106" s="11">
        <f t="shared" si="5"/>
        <v>2364000000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393</v>
      </c>
      <c r="E107" s="11">
        <f t="shared" si="4"/>
        <v>0</v>
      </c>
      <c r="F107" s="11">
        <f t="shared" si="5"/>
        <v>-2360318700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390</v>
      </c>
      <c r="E108" s="11">
        <f t="shared" si="4"/>
        <v>1</v>
      </c>
      <c r="F108" s="11">
        <f t="shared" si="5"/>
        <v>2334000000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378</v>
      </c>
      <c r="E109" s="11">
        <f t="shared" si="4"/>
        <v>0</v>
      </c>
      <c r="F109" s="11">
        <f t="shared" si="5"/>
        <v>-45360000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377</v>
      </c>
      <c r="E110" s="11">
        <f t="shared" si="4"/>
        <v>1</v>
      </c>
      <c r="F110" s="11">
        <f t="shared" si="5"/>
        <v>1504000000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376</v>
      </c>
      <c r="E111" s="11">
        <f t="shared" si="4"/>
        <v>1</v>
      </c>
      <c r="F111" s="11">
        <f t="shared" si="5"/>
        <v>1050000000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372</v>
      </c>
      <c r="E112" s="11">
        <f t="shared" si="4"/>
        <v>0</v>
      </c>
      <c r="F112" s="11">
        <f t="shared" si="5"/>
        <v>-74400000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371</v>
      </c>
      <c r="E113" s="11">
        <f t="shared" si="4"/>
        <v>1</v>
      </c>
      <c r="F113" s="11">
        <f t="shared" si="5"/>
        <v>26754700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354</v>
      </c>
      <c r="E114" s="11">
        <f t="shared" si="4"/>
        <v>0</v>
      </c>
      <c r="F114" s="11">
        <f t="shared" si="5"/>
        <v>-70800000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353</v>
      </c>
      <c r="E115" s="11">
        <f t="shared" si="4"/>
        <v>0</v>
      </c>
      <c r="F115" s="23">
        <f t="shared" si="5"/>
        <v>-3883000000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353</v>
      </c>
      <c r="E116" s="11">
        <f t="shared" si="4"/>
        <v>0</v>
      </c>
      <c r="F116" s="11">
        <f t="shared" si="5"/>
        <v>-70600000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351</v>
      </c>
      <c r="E117" s="11">
        <f t="shared" si="4"/>
        <v>0</v>
      </c>
      <c r="F117" s="11">
        <f t="shared" si="5"/>
        <v>-158125500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351</v>
      </c>
      <c r="E118" s="11">
        <f t="shared" si="4"/>
        <v>0</v>
      </c>
      <c r="F118" s="11">
        <f t="shared" si="5"/>
        <v>-70200000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345</v>
      </c>
      <c r="E119" s="11">
        <f t="shared" si="4"/>
        <v>0</v>
      </c>
      <c r="F119" s="11">
        <f t="shared" si="5"/>
        <v>-53319750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345</v>
      </c>
      <c r="E120" s="11">
        <f t="shared" si="4"/>
        <v>0</v>
      </c>
      <c r="F120" s="11">
        <f t="shared" si="5"/>
        <v>-110400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344</v>
      </c>
      <c r="E121" s="11">
        <f t="shared" si="4"/>
        <v>0</v>
      </c>
      <c r="F121" s="11">
        <f t="shared" si="5"/>
        <v>-148608000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338</v>
      </c>
      <c r="E122" s="11">
        <f t="shared" si="4"/>
        <v>1</v>
      </c>
      <c r="F122" s="11">
        <f t="shared" si="5"/>
        <v>24952491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317</v>
      </c>
      <c r="E123" s="11">
        <f t="shared" si="4"/>
        <v>0</v>
      </c>
      <c r="F123" s="11">
        <f t="shared" si="5"/>
        <v>-16484000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276</v>
      </c>
      <c r="E124" s="11">
        <f t="shared" si="4"/>
        <v>1</v>
      </c>
      <c r="F124" s="11">
        <f t="shared" si="5"/>
        <v>326425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275</v>
      </c>
      <c r="E125" s="11">
        <f t="shared" si="4"/>
        <v>1</v>
      </c>
      <c r="F125" s="11">
        <f t="shared" si="5"/>
        <v>657600000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273</v>
      </c>
      <c r="E126" s="11">
        <f t="shared" si="4"/>
        <v>1</v>
      </c>
      <c r="F126" s="11">
        <f t="shared" si="5"/>
        <v>365241600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273</v>
      </c>
      <c r="E127" s="11">
        <f t="shared" si="4"/>
        <v>1</v>
      </c>
      <c r="F127" s="11">
        <f t="shared" si="5"/>
        <v>365241600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261</v>
      </c>
      <c r="E128" s="11">
        <f t="shared" si="4"/>
        <v>0</v>
      </c>
      <c r="F128" s="11">
        <f t="shared" si="5"/>
        <v>-52200000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259</v>
      </c>
      <c r="E129" s="11">
        <f t="shared" si="4"/>
        <v>0</v>
      </c>
      <c r="F129" s="11">
        <f>B129*(D129-E129)</f>
        <v>-4045062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258</v>
      </c>
      <c r="E130" s="11">
        <f t="shared" si="4"/>
        <v>0</v>
      </c>
      <c r="F130" s="11">
        <f t="shared" si="5"/>
        <v>-51600000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257</v>
      </c>
      <c r="E131" s="11">
        <f t="shared" ref="E131:E201" si="7">IF(B131&gt;0,1,0)</f>
        <v>0</v>
      </c>
      <c r="F131" s="11">
        <f t="shared" si="5"/>
        <v>-51400000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256</v>
      </c>
      <c r="E132" s="11">
        <f t="shared" si="7"/>
        <v>0</v>
      </c>
      <c r="F132" s="11">
        <f t="shared" si="5"/>
        <v>-99840000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256</v>
      </c>
      <c r="E133" s="11">
        <f t="shared" si="7"/>
        <v>0</v>
      </c>
      <c r="F133" s="11">
        <f t="shared" si="5"/>
        <v>-6272000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255</v>
      </c>
      <c r="E134" s="11">
        <f t="shared" si="7"/>
        <v>0</v>
      </c>
      <c r="F134" s="11">
        <f t="shared" si="5"/>
        <v>-24225000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251</v>
      </c>
      <c r="E135" s="11">
        <f t="shared" si="7"/>
        <v>0</v>
      </c>
      <c r="F135" s="11">
        <f t="shared" si="5"/>
        <v>-50200000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249</v>
      </c>
      <c r="E136" s="11">
        <f t="shared" si="7"/>
        <v>1</v>
      </c>
      <c r="F136" s="11">
        <f t="shared" si="5"/>
        <v>12400000000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248</v>
      </c>
      <c r="E137" s="11">
        <f t="shared" si="7"/>
        <v>1</v>
      </c>
      <c r="F137" s="11">
        <f t="shared" si="5"/>
        <v>2964000000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246</v>
      </c>
      <c r="E138" s="11">
        <f t="shared" si="7"/>
        <v>1</v>
      </c>
      <c r="F138" s="11">
        <f t="shared" si="5"/>
        <v>490000000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245</v>
      </c>
      <c r="E139" s="11">
        <f t="shared" si="7"/>
        <v>1</v>
      </c>
      <c r="F139" s="11">
        <f t="shared" si="5"/>
        <v>21359272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232</v>
      </c>
      <c r="E140" s="11">
        <f t="shared" si="7"/>
        <v>0</v>
      </c>
      <c r="F140" s="11">
        <f t="shared" si="5"/>
        <v>-696208800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231</v>
      </c>
      <c r="E141" s="11">
        <f t="shared" si="7"/>
        <v>0</v>
      </c>
      <c r="F141" s="11">
        <f t="shared" si="5"/>
        <v>-693207900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214</v>
      </c>
      <c r="E142" s="11">
        <f t="shared" si="7"/>
        <v>1</v>
      </c>
      <c r="F142" s="11">
        <f t="shared" si="5"/>
        <v>128231325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214</v>
      </c>
      <c r="E143" s="11">
        <f t="shared" si="7"/>
        <v>0</v>
      </c>
      <c r="F143" s="11">
        <f t="shared" si="5"/>
        <v>-9844000000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183</v>
      </c>
      <c r="E144" s="11">
        <f t="shared" si="7"/>
        <v>1</v>
      </c>
      <c r="F144" s="11">
        <f t="shared" si="5"/>
        <v>28047474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182</v>
      </c>
      <c r="E145" s="11">
        <f t="shared" si="7"/>
        <v>1</v>
      </c>
      <c r="F145" s="11">
        <f t="shared" si="5"/>
        <v>543000000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179</v>
      </c>
      <c r="E146" s="11">
        <f t="shared" si="7"/>
        <v>0</v>
      </c>
      <c r="F146" s="11">
        <f t="shared" si="5"/>
        <v>-35800000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174</v>
      </c>
      <c r="E147" s="11">
        <f t="shared" si="7"/>
        <v>0</v>
      </c>
      <c r="F147" s="11">
        <f t="shared" si="5"/>
        <v>-34800000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173</v>
      </c>
      <c r="E148" s="11">
        <f t="shared" si="7"/>
        <v>0</v>
      </c>
      <c r="F148" s="11">
        <f t="shared" si="5"/>
        <v>-34600000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169</v>
      </c>
      <c r="E149" s="11">
        <f t="shared" si="7"/>
        <v>0</v>
      </c>
      <c r="F149" s="11">
        <f t="shared" si="5"/>
        <v>-33800000</v>
      </c>
      <c r="G149" s="11" t="s">
        <v>158</v>
      </c>
    </row>
    <row r="150" spans="1:11" x14ac:dyDescent="0.25">
      <c r="A150" s="11" t="s">
        <v>712</v>
      </c>
      <c r="B150" s="3">
        <v>24073400</v>
      </c>
      <c r="C150" s="11">
        <v>2</v>
      </c>
      <c r="D150" s="11">
        <f t="shared" si="6"/>
        <v>168</v>
      </c>
      <c r="E150" s="11">
        <f t="shared" si="7"/>
        <v>1</v>
      </c>
      <c r="F150" s="11">
        <f t="shared" si="5"/>
        <v>4020257800</v>
      </c>
      <c r="G150" s="11" t="s">
        <v>713</v>
      </c>
    </row>
    <row r="151" spans="1:11" x14ac:dyDescent="0.25">
      <c r="A151" s="11" t="s">
        <v>722</v>
      </c>
      <c r="B151" s="3">
        <v>-200000</v>
      </c>
      <c r="C151" s="11">
        <v>6</v>
      </c>
      <c r="D151" s="11">
        <f t="shared" si="6"/>
        <v>166</v>
      </c>
      <c r="E151" s="11">
        <f t="shared" si="7"/>
        <v>0</v>
      </c>
      <c r="F151" s="11">
        <f t="shared" si="5"/>
        <v>-33200000</v>
      </c>
      <c r="G151" s="11" t="s">
        <v>158</v>
      </c>
    </row>
    <row r="152" spans="1:11" x14ac:dyDescent="0.25">
      <c r="A152" s="11" t="s">
        <v>724</v>
      </c>
      <c r="B152" s="3">
        <v>-30000000</v>
      </c>
      <c r="C152" s="11">
        <v>1</v>
      </c>
      <c r="D152" s="11">
        <f t="shared" si="6"/>
        <v>160</v>
      </c>
      <c r="E152" s="11">
        <f t="shared" si="7"/>
        <v>0</v>
      </c>
      <c r="F152" s="11">
        <f t="shared" si="5"/>
        <v>-4800000000</v>
      </c>
      <c r="G152" s="11" t="s">
        <v>725</v>
      </c>
    </row>
    <row r="153" spans="1:11" x14ac:dyDescent="0.25">
      <c r="A153" s="11" t="s">
        <v>732</v>
      </c>
      <c r="B153" s="3">
        <v>-52000</v>
      </c>
      <c r="C153" s="11">
        <v>0</v>
      </c>
      <c r="D153" s="11">
        <f t="shared" si="6"/>
        <v>159</v>
      </c>
      <c r="E153" s="11">
        <f t="shared" si="7"/>
        <v>0</v>
      </c>
      <c r="F153" s="11">
        <f t="shared" si="5"/>
        <v>-8268000</v>
      </c>
      <c r="G153" s="11" t="s">
        <v>733</v>
      </c>
    </row>
    <row r="154" spans="1:11" x14ac:dyDescent="0.25">
      <c r="A154" s="11" t="s">
        <v>732</v>
      </c>
      <c r="B154" s="3">
        <v>-136000</v>
      </c>
      <c r="C154" s="11">
        <v>5</v>
      </c>
      <c r="D154" s="11">
        <f t="shared" si="6"/>
        <v>159</v>
      </c>
      <c r="E154" s="11">
        <f t="shared" si="7"/>
        <v>0</v>
      </c>
      <c r="F154" s="11">
        <f t="shared" si="5"/>
        <v>-21624000</v>
      </c>
      <c r="G154" s="11" t="s">
        <v>734</v>
      </c>
    </row>
    <row r="155" spans="1:11" x14ac:dyDescent="0.25">
      <c r="A155" s="11" t="s">
        <v>737</v>
      </c>
      <c r="B155" s="3">
        <v>3000000</v>
      </c>
      <c r="C155" s="11">
        <v>1</v>
      </c>
      <c r="D155" s="11">
        <f t="shared" si="6"/>
        <v>154</v>
      </c>
      <c r="E155" s="11">
        <f t="shared" si="7"/>
        <v>1</v>
      </c>
      <c r="F155" s="11">
        <f t="shared" si="5"/>
        <v>459000000</v>
      </c>
      <c r="G155" s="11" t="s">
        <v>738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153</v>
      </c>
      <c r="E156" s="11">
        <f t="shared" si="7"/>
        <v>1</v>
      </c>
      <c r="F156" s="11">
        <f t="shared" si="5"/>
        <v>28743656</v>
      </c>
      <c r="G156" s="11" t="s">
        <v>739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153</v>
      </c>
      <c r="E157" s="11">
        <f t="shared" si="7"/>
        <v>1</v>
      </c>
      <c r="F157" s="11">
        <f t="shared" si="5"/>
        <v>3682610400</v>
      </c>
      <c r="G157" s="11" t="s">
        <v>740</v>
      </c>
    </row>
    <row r="158" spans="1:11" x14ac:dyDescent="0.25">
      <c r="A158" s="11" t="s">
        <v>760</v>
      </c>
      <c r="B158" s="3">
        <v>24295200</v>
      </c>
      <c r="C158" s="11">
        <v>0</v>
      </c>
      <c r="D158" s="11">
        <f t="shared" si="6"/>
        <v>145</v>
      </c>
      <c r="E158" s="11">
        <f t="shared" si="7"/>
        <v>1</v>
      </c>
      <c r="F158" s="11">
        <f t="shared" si="5"/>
        <v>3498508800</v>
      </c>
      <c r="G158" s="11" t="s">
        <v>754</v>
      </c>
    </row>
    <row r="159" spans="1:11" x14ac:dyDescent="0.25">
      <c r="A159" s="11" t="s">
        <v>760</v>
      </c>
      <c r="B159" s="3">
        <v>-201000</v>
      </c>
      <c r="C159" s="11">
        <v>5</v>
      </c>
      <c r="D159" s="11">
        <f t="shared" si="6"/>
        <v>145</v>
      </c>
      <c r="E159" s="11">
        <f t="shared" si="7"/>
        <v>0</v>
      </c>
      <c r="F159" s="11">
        <f t="shared" si="5"/>
        <v>-29145000</v>
      </c>
      <c r="G159" s="11" t="s">
        <v>767</v>
      </c>
    </row>
    <row r="160" spans="1:11" x14ac:dyDescent="0.25">
      <c r="A160" s="11" t="s">
        <v>768</v>
      </c>
      <c r="B160" s="3">
        <v>-200000</v>
      </c>
      <c r="C160" s="11">
        <v>3</v>
      </c>
      <c r="D160" s="11">
        <f t="shared" si="6"/>
        <v>140</v>
      </c>
      <c r="E160" s="11">
        <f t="shared" si="7"/>
        <v>0</v>
      </c>
      <c r="F160" s="11">
        <f t="shared" si="5"/>
        <v>-28000000</v>
      </c>
      <c r="G160" s="11" t="s">
        <v>769</v>
      </c>
    </row>
    <row r="161" spans="1:7" x14ac:dyDescent="0.25">
      <c r="A161" s="11" t="s">
        <v>775</v>
      </c>
      <c r="B161" s="3">
        <v>-200000</v>
      </c>
      <c r="C161" s="11">
        <v>4</v>
      </c>
      <c r="D161" s="11">
        <f t="shared" si="6"/>
        <v>137</v>
      </c>
      <c r="E161" s="11">
        <f t="shared" si="7"/>
        <v>0</v>
      </c>
      <c r="F161" s="11">
        <f t="shared" si="5"/>
        <v>-27400000</v>
      </c>
      <c r="G161" s="11" t="s">
        <v>769</v>
      </c>
    </row>
    <row r="162" spans="1:7" x14ac:dyDescent="0.25">
      <c r="A162" s="11" t="s">
        <v>777</v>
      </c>
      <c r="B162" s="3">
        <v>-200000</v>
      </c>
      <c r="C162" s="11">
        <v>3</v>
      </c>
      <c r="D162" s="11">
        <f t="shared" si="6"/>
        <v>133</v>
      </c>
      <c r="E162" s="11">
        <f t="shared" si="7"/>
        <v>0</v>
      </c>
      <c r="F162" s="11">
        <f t="shared" si="5"/>
        <v>-26600000</v>
      </c>
      <c r="G162" s="11" t="s">
        <v>769</v>
      </c>
    </row>
    <row r="163" spans="1:7" x14ac:dyDescent="0.25">
      <c r="A163" s="11" t="s">
        <v>778</v>
      </c>
      <c r="B163" s="3">
        <v>-200000</v>
      </c>
      <c r="C163" s="11">
        <v>7</v>
      </c>
      <c r="D163" s="11">
        <f t="shared" si="6"/>
        <v>130</v>
      </c>
      <c r="E163" s="11">
        <f t="shared" si="7"/>
        <v>0</v>
      </c>
      <c r="F163" s="11">
        <f t="shared" si="5"/>
        <v>-26000000</v>
      </c>
      <c r="G163" s="11" t="s">
        <v>769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123</v>
      </c>
      <c r="E164" s="11">
        <f t="shared" si="7"/>
        <v>1</v>
      </c>
      <c r="F164" s="11">
        <f t="shared" si="5"/>
        <v>55836228</v>
      </c>
      <c r="G164" s="11" t="s">
        <v>782</v>
      </c>
    </row>
    <row r="165" spans="1:7" x14ac:dyDescent="0.25">
      <c r="A165" s="11" t="s">
        <v>787</v>
      </c>
      <c r="B165" s="3">
        <v>2700000</v>
      </c>
      <c r="C165" s="11">
        <v>0</v>
      </c>
      <c r="D165" s="11">
        <f t="shared" si="6"/>
        <v>120</v>
      </c>
      <c r="E165" s="11">
        <f t="shared" si="7"/>
        <v>1</v>
      </c>
      <c r="F165" s="11">
        <f t="shared" si="5"/>
        <v>321300000</v>
      </c>
      <c r="G165" s="11" t="s">
        <v>788</v>
      </c>
    </row>
    <row r="166" spans="1:7" x14ac:dyDescent="0.25">
      <c r="A166" s="11" t="s">
        <v>787</v>
      </c>
      <c r="B166" s="3">
        <v>2500000</v>
      </c>
      <c r="C166" s="11">
        <v>7</v>
      </c>
      <c r="D166" s="11">
        <f t="shared" si="6"/>
        <v>120</v>
      </c>
      <c r="E166" s="11">
        <f t="shared" si="7"/>
        <v>1</v>
      </c>
      <c r="F166" s="11">
        <f t="shared" si="5"/>
        <v>297500000</v>
      </c>
      <c r="G166" s="11" t="s">
        <v>789</v>
      </c>
    </row>
    <row r="167" spans="1:7" x14ac:dyDescent="0.25">
      <c r="A167" s="11" t="s">
        <v>802</v>
      </c>
      <c r="B167" s="3">
        <v>-200000</v>
      </c>
      <c r="C167" s="11">
        <v>2</v>
      </c>
      <c r="D167" s="11">
        <f t="shared" si="6"/>
        <v>113</v>
      </c>
      <c r="E167" s="11">
        <f t="shared" si="7"/>
        <v>0</v>
      </c>
      <c r="F167" s="11">
        <f t="shared" si="5"/>
        <v>-22600000</v>
      </c>
      <c r="G167" s="11" t="s">
        <v>502</v>
      </c>
    </row>
    <row r="168" spans="1:7" x14ac:dyDescent="0.25">
      <c r="A168" s="11" t="s">
        <v>804</v>
      </c>
      <c r="B168" s="3">
        <v>-200000</v>
      </c>
      <c r="C168" s="11">
        <v>6</v>
      </c>
      <c r="D168" s="11">
        <f t="shared" si="6"/>
        <v>111</v>
      </c>
      <c r="E168" s="11">
        <f t="shared" si="7"/>
        <v>0</v>
      </c>
      <c r="F168" s="11">
        <f t="shared" si="5"/>
        <v>-22200000</v>
      </c>
      <c r="G168" s="11" t="s">
        <v>502</v>
      </c>
    </row>
    <row r="169" spans="1:7" x14ac:dyDescent="0.25">
      <c r="A169" s="11" t="s">
        <v>806</v>
      </c>
      <c r="B169" s="3">
        <v>-200000</v>
      </c>
      <c r="C169" s="11">
        <v>3</v>
      </c>
      <c r="D169" s="11">
        <f t="shared" si="6"/>
        <v>105</v>
      </c>
      <c r="E169" s="11">
        <f t="shared" si="7"/>
        <v>0</v>
      </c>
      <c r="F169" s="11">
        <f t="shared" si="5"/>
        <v>-21000000</v>
      </c>
      <c r="G169" s="11" t="s">
        <v>502</v>
      </c>
    </row>
    <row r="170" spans="1:7" x14ac:dyDescent="0.25">
      <c r="A170" s="11" t="s">
        <v>811</v>
      </c>
      <c r="B170" s="3">
        <v>-200000</v>
      </c>
      <c r="C170" s="11">
        <v>0</v>
      </c>
      <c r="D170" s="11">
        <f t="shared" si="6"/>
        <v>102</v>
      </c>
      <c r="E170" s="11">
        <f t="shared" si="7"/>
        <v>0</v>
      </c>
      <c r="F170" s="11">
        <f t="shared" si="5"/>
        <v>-20400000</v>
      </c>
      <c r="G170" s="11" t="s">
        <v>502</v>
      </c>
    </row>
    <row r="171" spans="1:7" x14ac:dyDescent="0.25">
      <c r="A171" s="11" t="s">
        <v>811</v>
      </c>
      <c r="B171" s="3">
        <v>3000000</v>
      </c>
      <c r="C171" s="11">
        <v>3</v>
      </c>
      <c r="D171" s="11">
        <f t="shared" si="6"/>
        <v>102</v>
      </c>
      <c r="E171" s="11">
        <f t="shared" si="7"/>
        <v>1</v>
      </c>
      <c r="F171" s="11">
        <f t="shared" si="5"/>
        <v>303000000</v>
      </c>
      <c r="G171" s="11" t="s">
        <v>812</v>
      </c>
    </row>
    <row r="172" spans="1:7" x14ac:dyDescent="0.25">
      <c r="A172" s="11" t="s">
        <v>814</v>
      </c>
      <c r="B172" s="3">
        <v>-200000</v>
      </c>
      <c r="C172" s="11">
        <v>1</v>
      </c>
      <c r="D172" s="11">
        <f t="shared" si="6"/>
        <v>99</v>
      </c>
      <c r="E172" s="11">
        <f t="shared" si="7"/>
        <v>0</v>
      </c>
      <c r="F172" s="11">
        <f t="shared" si="5"/>
        <v>-19800000</v>
      </c>
      <c r="G172" s="11" t="s">
        <v>158</v>
      </c>
    </row>
    <row r="173" spans="1:7" x14ac:dyDescent="0.25">
      <c r="A173" s="11" t="s">
        <v>814</v>
      </c>
      <c r="B173" s="3">
        <v>3000000</v>
      </c>
      <c r="C173" s="11">
        <v>1</v>
      </c>
      <c r="D173" s="11">
        <f t="shared" si="6"/>
        <v>98</v>
      </c>
      <c r="E173" s="11">
        <f t="shared" si="7"/>
        <v>1</v>
      </c>
      <c r="F173" s="11">
        <f t="shared" si="5"/>
        <v>291000000</v>
      </c>
      <c r="G173" s="11" t="s">
        <v>817</v>
      </c>
    </row>
    <row r="174" spans="1:7" x14ac:dyDescent="0.25">
      <c r="A174" s="11" t="s">
        <v>815</v>
      </c>
      <c r="B174" s="3">
        <v>2000000</v>
      </c>
      <c r="C174" s="11">
        <v>1</v>
      </c>
      <c r="D174" s="11">
        <f t="shared" si="6"/>
        <v>97</v>
      </c>
      <c r="E174" s="11">
        <f t="shared" si="7"/>
        <v>1</v>
      </c>
      <c r="F174" s="11">
        <f t="shared" si="5"/>
        <v>192000000</v>
      </c>
      <c r="G174" s="11" t="s">
        <v>818</v>
      </c>
    </row>
    <row r="175" spans="1:7" x14ac:dyDescent="0.25">
      <c r="A175" s="11" t="s">
        <v>815</v>
      </c>
      <c r="B175" s="3">
        <v>1300000</v>
      </c>
      <c r="C175" s="11">
        <v>2</v>
      </c>
      <c r="D175" s="11">
        <f t="shared" si="6"/>
        <v>96</v>
      </c>
      <c r="E175" s="11">
        <f t="shared" si="7"/>
        <v>1</v>
      </c>
      <c r="F175" s="11">
        <f t="shared" si="5"/>
        <v>123500000</v>
      </c>
      <c r="G175" s="11" t="s">
        <v>819</v>
      </c>
    </row>
    <row r="176" spans="1:7" x14ac:dyDescent="0.25">
      <c r="A176" s="11" t="s">
        <v>823</v>
      </c>
      <c r="B176" s="3">
        <v>-200000</v>
      </c>
      <c r="C176" s="11">
        <v>0</v>
      </c>
      <c r="D176" s="11">
        <f t="shared" si="6"/>
        <v>94</v>
      </c>
      <c r="E176" s="11">
        <f t="shared" si="7"/>
        <v>0</v>
      </c>
      <c r="F176" s="11">
        <f t="shared" si="5"/>
        <v>-18800000</v>
      </c>
      <c r="G176" s="11" t="s">
        <v>769</v>
      </c>
    </row>
    <row r="177" spans="1:7" x14ac:dyDescent="0.25">
      <c r="A177" s="11" t="s">
        <v>823</v>
      </c>
      <c r="B177" s="3">
        <v>1700000</v>
      </c>
      <c r="C177" s="11">
        <v>1</v>
      </c>
      <c r="D177" s="11">
        <f t="shared" si="6"/>
        <v>94</v>
      </c>
      <c r="E177" s="11">
        <f t="shared" si="7"/>
        <v>1</v>
      </c>
      <c r="F177" s="11">
        <f t="shared" si="5"/>
        <v>158100000</v>
      </c>
      <c r="G177" s="11" t="s">
        <v>824</v>
      </c>
    </row>
    <row r="178" spans="1:7" x14ac:dyDescent="0.25">
      <c r="A178" s="11" t="s">
        <v>825</v>
      </c>
      <c r="B178" s="3">
        <v>-200000</v>
      </c>
      <c r="C178" s="11">
        <v>1</v>
      </c>
      <c r="D178" s="11">
        <f t="shared" si="6"/>
        <v>93</v>
      </c>
      <c r="E178" s="11">
        <f t="shared" si="7"/>
        <v>0</v>
      </c>
      <c r="F178" s="11">
        <f t="shared" si="5"/>
        <v>-18600000</v>
      </c>
      <c r="G178" s="11" t="s">
        <v>502</v>
      </c>
    </row>
    <row r="179" spans="1:7" x14ac:dyDescent="0.25">
      <c r="A179" s="11" t="s">
        <v>828</v>
      </c>
      <c r="B179" s="3">
        <v>571492</v>
      </c>
      <c r="C179" s="11">
        <v>3</v>
      </c>
      <c r="D179" s="11">
        <f t="shared" si="6"/>
        <v>92</v>
      </c>
      <c r="E179" s="11">
        <f t="shared" si="7"/>
        <v>1</v>
      </c>
      <c r="F179" s="11">
        <f t="shared" si="5"/>
        <v>52005772</v>
      </c>
      <c r="G179" s="11" t="s">
        <v>242</v>
      </c>
    </row>
    <row r="180" spans="1:7" x14ac:dyDescent="0.25">
      <c r="A180" s="11" t="s">
        <v>833</v>
      </c>
      <c r="B180" s="3">
        <v>3000000</v>
      </c>
      <c r="C180" s="11">
        <v>7</v>
      </c>
      <c r="D180" s="11">
        <f t="shared" si="6"/>
        <v>89</v>
      </c>
      <c r="E180" s="11">
        <f t="shared" si="7"/>
        <v>1</v>
      </c>
      <c r="F180" s="11">
        <f t="shared" si="5"/>
        <v>264000000</v>
      </c>
      <c r="G180" s="11" t="s">
        <v>837</v>
      </c>
    </row>
    <row r="181" spans="1:7" x14ac:dyDescent="0.25">
      <c r="A181" s="11" t="s">
        <v>846</v>
      </c>
      <c r="B181" s="3">
        <v>2000000</v>
      </c>
      <c r="C181" s="11">
        <v>8</v>
      </c>
      <c r="D181" s="11">
        <f t="shared" si="6"/>
        <v>82</v>
      </c>
      <c r="E181" s="11">
        <f t="shared" si="7"/>
        <v>1</v>
      </c>
      <c r="F181" s="11">
        <f t="shared" si="5"/>
        <v>162000000</v>
      </c>
      <c r="G181" s="11" t="s">
        <v>847</v>
      </c>
    </row>
    <row r="182" spans="1:7" x14ac:dyDescent="0.25">
      <c r="A182" s="11" t="s">
        <v>859</v>
      </c>
      <c r="B182" s="3">
        <v>-2200700</v>
      </c>
      <c r="C182" s="11">
        <v>12</v>
      </c>
      <c r="D182" s="11">
        <f t="shared" si="6"/>
        <v>74</v>
      </c>
      <c r="E182" s="11">
        <f t="shared" si="7"/>
        <v>0</v>
      </c>
      <c r="F182" s="11">
        <f t="shared" si="5"/>
        <v>-162851800</v>
      </c>
      <c r="G182" s="11" t="s">
        <v>861</v>
      </c>
    </row>
    <row r="183" spans="1:7" x14ac:dyDescent="0.25">
      <c r="A183" s="11" t="s">
        <v>869</v>
      </c>
      <c r="B183" s="3">
        <v>675087</v>
      </c>
      <c r="C183" s="11">
        <v>30</v>
      </c>
      <c r="D183" s="11">
        <f t="shared" si="6"/>
        <v>62</v>
      </c>
      <c r="E183" s="11">
        <f t="shared" si="7"/>
        <v>1</v>
      </c>
      <c r="F183" s="11">
        <f t="shared" si="5"/>
        <v>41180307</v>
      </c>
      <c r="G183" s="11" t="s">
        <v>264</v>
      </c>
    </row>
    <row r="184" spans="1:7" x14ac:dyDescent="0.25">
      <c r="A184" s="11" t="s">
        <v>907</v>
      </c>
      <c r="B184" s="3">
        <v>677000</v>
      </c>
      <c r="C184" s="11">
        <v>15</v>
      </c>
      <c r="D184" s="11">
        <f t="shared" si="6"/>
        <v>32</v>
      </c>
      <c r="E184" s="11">
        <f t="shared" si="7"/>
        <v>1</v>
      </c>
      <c r="F184" s="11">
        <f t="shared" si="5"/>
        <v>20987000</v>
      </c>
      <c r="G184" s="11" t="s">
        <v>400</v>
      </c>
    </row>
    <row r="185" spans="1:7" x14ac:dyDescent="0.25">
      <c r="A185" s="11" t="s">
        <v>932</v>
      </c>
      <c r="B185" s="3">
        <v>-10000</v>
      </c>
      <c r="C185" s="11">
        <v>5</v>
      </c>
      <c r="D185" s="11">
        <f t="shared" si="6"/>
        <v>17</v>
      </c>
      <c r="E185" s="11">
        <f t="shared" si="7"/>
        <v>0</v>
      </c>
      <c r="F185" s="11">
        <f t="shared" si="5"/>
        <v>-170000</v>
      </c>
      <c r="G185" s="11" t="s">
        <v>938</v>
      </c>
    </row>
    <row r="186" spans="1:7" x14ac:dyDescent="0.25">
      <c r="A186" s="11" t="s">
        <v>951</v>
      </c>
      <c r="B186" s="3">
        <v>-80500000</v>
      </c>
      <c r="C186" s="11">
        <v>5</v>
      </c>
      <c r="D186" s="11">
        <f t="shared" ref="D186:D201" si="8">D187+C186</f>
        <v>12</v>
      </c>
      <c r="E186" s="11">
        <f t="shared" si="7"/>
        <v>0</v>
      </c>
      <c r="F186" s="11">
        <f t="shared" si="5"/>
        <v>-966000000</v>
      </c>
      <c r="G186" s="11" t="s">
        <v>1057</v>
      </c>
    </row>
    <row r="187" spans="1:7" x14ac:dyDescent="0.25">
      <c r="A187" s="11" t="s">
        <v>1056</v>
      </c>
      <c r="B187" s="3">
        <v>-1100000</v>
      </c>
      <c r="C187" s="11">
        <v>0</v>
      </c>
      <c r="D187" s="11">
        <f t="shared" si="8"/>
        <v>7</v>
      </c>
      <c r="E187" s="11">
        <f t="shared" si="7"/>
        <v>0</v>
      </c>
      <c r="F187" s="11">
        <f t="shared" si="5"/>
        <v>-7700000</v>
      </c>
      <c r="G187" s="11" t="s">
        <v>1057</v>
      </c>
    </row>
    <row r="188" spans="1:7" x14ac:dyDescent="0.25">
      <c r="A188" s="11" t="s">
        <v>1056</v>
      </c>
      <c r="B188" s="3">
        <v>3000000</v>
      </c>
      <c r="C188" s="11">
        <v>1</v>
      </c>
      <c r="D188" s="11">
        <f t="shared" si="8"/>
        <v>7</v>
      </c>
      <c r="E188" s="11">
        <f t="shared" si="7"/>
        <v>1</v>
      </c>
      <c r="F188" s="11">
        <f t="shared" si="5"/>
        <v>18000000</v>
      </c>
      <c r="G188" s="11" t="s">
        <v>1068</v>
      </c>
    </row>
    <row r="189" spans="1:7" x14ac:dyDescent="0.25">
      <c r="A189" s="11" t="s">
        <v>1067</v>
      </c>
      <c r="B189" s="3">
        <v>2000000</v>
      </c>
      <c r="C189" s="11">
        <v>0</v>
      </c>
      <c r="D189" s="11">
        <f t="shared" si="8"/>
        <v>6</v>
      </c>
      <c r="E189" s="11">
        <f t="shared" si="7"/>
        <v>1</v>
      </c>
      <c r="F189" s="11">
        <f t="shared" si="5"/>
        <v>10000000</v>
      </c>
      <c r="G189" s="11" t="s">
        <v>1068</v>
      </c>
    </row>
    <row r="190" spans="1:7" x14ac:dyDescent="0.25">
      <c r="A190" s="11" t="s">
        <v>1067</v>
      </c>
      <c r="B190" s="3">
        <v>-5000000</v>
      </c>
      <c r="C190" s="11">
        <v>1</v>
      </c>
      <c r="D190" s="11">
        <f t="shared" si="8"/>
        <v>6</v>
      </c>
      <c r="E190" s="11">
        <f t="shared" si="7"/>
        <v>0</v>
      </c>
      <c r="F190" s="11">
        <f t="shared" si="5"/>
        <v>-30000000</v>
      </c>
      <c r="G190" s="11" t="s">
        <v>1057</v>
      </c>
    </row>
    <row r="191" spans="1:7" x14ac:dyDescent="0.25">
      <c r="A191" s="11" t="s">
        <v>1074</v>
      </c>
      <c r="B191" s="3">
        <v>483248</v>
      </c>
      <c r="C191" s="11">
        <v>4</v>
      </c>
      <c r="D191" s="11">
        <f t="shared" si="8"/>
        <v>5</v>
      </c>
      <c r="E191" s="11">
        <f t="shared" si="7"/>
        <v>1</v>
      </c>
      <c r="F191" s="11">
        <f t="shared" si="5"/>
        <v>1932992</v>
      </c>
      <c r="G191" s="11" t="s">
        <v>1076</v>
      </c>
    </row>
    <row r="192" spans="1:7" x14ac:dyDescent="0.25">
      <c r="A192" s="11" t="s">
        <v>1103</v>
      </c>
      <c r="B192" s="3">
        <v>-115300</v>
      </c>
      <c r="C192" s="11">
        <v>1</v>
      </c>
      <c r="D192" s="11">
        <f t="shared" si="8"/>
        <v>1</v>
      </c>
      <c r="E192" s="11">
        <f t="shared" si="7"/>
        <v>0</v>
      </c>
      <c r="F192" s="11">
        <f t="shared" si="5"/>
        <v>-115300</v>
      </c>
      <c r="G192" s="11" t="s">
        <v>1104</v>
      </c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1984347</v>
      </c>
      <c r="C202" s="11"/>
      <c r="D202" s="11"/>
      <c r="E202" s="11"/>
      <c r="F202" s="29">
        <f>SUM(F2:F200)</f>
        <v>18262924583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27587499.370090634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C1" zoomScaleNormal="100" workbookViewId="0">
      <selection activeCell="J21" sqref="J2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448</v>
      </c>
      <c r="B1" s="11" t="s">
        <v>446</v>
      </c>
      <c r="C1" s="11" t="s">
        <v>714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954</v>
      </c>
      <c r="N1" s="11" t="s">
        <v>452</v>
      </c>
      <c r="O1" s="11" t="s">
        <v>755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958</v>
      </c>
      <c r="S2" s="29" t="s">
        <v>724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761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715</v>
      </c>
      <c r="N3" s="29">
        <v>46000000</v>
      </c>
      <c r="O3" s="29">
        <v>40000000</v>
      </c>
      <c r="P3" s="11" t="s">
        <v>956</v>
      </c>
      <c r="S3" s="29" t="s">
        <v>760</v>
      </c>
      <c r="T3" s="29">
        <v>6000000</v>
      </c>
      <c r="U3" s="11">
        <v>25</v>
      </c>
      <c r="V3" s="29">
        <f t="shared" si="1"/>
        <v>150000000</v>
      </c>
      <c r="W3" s="11" t="s">
        <v>762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S4" s="29" t="s">
        <v>787</v>
      </c>
      <c r="T4" s="29">
        <v>3500000</v>
      </c>
      <c r="U4" s="11">
        <v>19</v>
      </c>
      <c r="V4" s="29">
        <f t="shared" si="1"/>
        <v>66500000</v>
      </c>
      <c r="W4" s="11" t="s">
        <v>790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716</v>
      </c>
      <c r="N5" s="29">
        <v>27000000</v>
      </c>
      <c r="O5" s="29">
        <v>41000000</v>
      </c>
      <c r="P5" s="11" t="s">
        <v>716</v>
      </c>
      <c r="S5" s="29" t="s">
        <v>813</v>
      </c>
      <c r="T5" s="29">
        <v>500000</v>
      </c>
      <c r="U5" s="11">
        <v>3</v>
      </c>
      <c r="V5" s="29">
        <f t="shared" si="1"/>
        <v>1500000</v>
      </c>
      <c r="W5" s="11" t="s">
        <v>816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-37600000</v>
      </c>
      <c r="O6" s="29">
        <v>-25000000</v>
      </c>
      <c r="P6" s="11" t="s">
        <v>957</v>
      </c>
      <c r="S6" s="29" t="s">
        <v>815</v>
      </c>
      <c r="T6" s="29">
        <v>-2500000</v>
      </c>
      <c r="U6" s="11">
        <v>1</v>
      </c>
      <c r="V6" s="29">
        <f t="shared" si="1"/>
        <v>-2500000</v>
      </c>
      <c r="W6" s="11" t="s">
        <v>820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721</v>
      </c>
      <c r="M7" s="11" t="s">
        <v>717</v>
      </c>
      <c r="N7" s="29">
        <v>57000000</v>
      </c>
      <c r="O7" s="29"/>
      <c r="P7" s="11"/>
      <c r="S7" s="29" t="s">
        <v>821</v>
      </c>
      <c r="T7" s="29">
        <v>-5800000</v>
      </c>
      <c r="U7" s="11">
        <v>2</v>
      </c>
      <c r="V7" s="29">
        <f t="shared" si="1"/>
        <v>-11600000</v>
      </c>
      <c r="W7" s="11" t="s">
        <v>822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955</v>
      </c>
      <c r="N8" s="29">
        <v>10000000</v>
      </c>
      <c r="O8" s="29"/>
      <c r="P8" s="11"/>
      <c r="S8" s="29" t="s">
        <v>825</v>
      </c>
      <c r="T8" s="29">
        <v>-7500000</v>
      </c>
      <c r="U8" s="11">
        <v>4</v>
      </c>
      <c r="V8" s="29">
        <f t="shared" si="1"/>
        <v>-30000000</v>
      </c>
      <c r="W8" s="11" t="s">
        <v>826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736</v>
      </c>
      <c r="M9" s="11" t="s">
        <v>25</v>
      </c>
      <c r="N9" s="29"/>
      <c r="O9" s="29"/>
      <c r="P9" s="11"/>
      <c r="S9" s="29" t="s">
        <v>833</v>
      </c>
      <c r="T9" s="29">
        <v>-8500000</v>
      </c>
      <c r="U9" s="11">
        <v>7</v>
      </c>
      <c r="V9" s="29">
        <f>T9*U9</f>
        <v>-59500000</v>
      </c>
      <c r="W9" s="11" t="s">
        <v>835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786</v>
      </c>
      <c r="M10" s="11" t="s">
        <v>719</v>
      </c>
      <c r="N10" s="29">
        <f>SUM(N2:N6)</f>
        <v>126400000</v>
      </c>
      <c r="O10" s="29"/>
      <c r="P10" s="11"/>
      <c r="S10" s="29" t="s">
        <v>846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848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832</v>
      </c>
      <c r="M11" s="11" t="s">
        <v>720</v>
      </c>
      <c r="N11" s="29">
        <f>SUM(N2:N9)</f>
        <v>193400000</v>
      </c>
      <c r="O11" s="29">
        <f>SUM(O2:O9)</f>
        <v>210000000</v>
      </c>
      <c r="P11" s="11"/>
      <c r="S11" s="29" t="s">
        <v>869</v>
      </c>
      <c r="T11" s="29">
        <v>-7500000</v>
      </c>
      <c r="U11" s="11">
        <v>30</v>
      </c>
      <c r="V11" s="29">
        <f t="shared" si="5"/>
        <v>-225000000</v>
      </c>
      <c r="W11" s="75" t="s">
        <v>870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877</v>
      </c>
      <c r="S12" s="29" t="s">
        <v>907</v>
      </c>
      <c r="T12" s="29">
        <v>-4500000</v>
      </c>
      <c r="U12" s="11">
        <v>21</v>
      </c>
      <c r="V12" s="29">
        <f t="shared" si="5"/>
        <v>-94500000</v>
      </c>
      <c r="W12" s="11" t="s">
        <v>948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915</v>
      </c>
      <c r="O13" t="s">
        <v>25</v>
      </c>
      <c r="S13" s="29" t="s">
        <v>940</v>
      </c>
      <c r="T13" s="29">
        <v>-3500000</v>
      </c>
      <c r="U13" s="11">
        <v>5</v>
      </c>
      <c r="V13" s="29">
        <f t="shared" si="5"/>
        <v>-17500000</v>
      </c>
      <c r="W13" s="11" t="s">
        <v>949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1105</v>
      </c>
      <c r="L14" s="25"/>
      <c r="O14" s="25"/>
      <c r="R14" s="25"/>
      <c r="S14" s="29" t="s">
        <v>959</v>
      </c>
      <c r="T14" s="29">
        <v>-500000</v>
      </c>
      <c r="U14" s="11">
        <v>100</v>
      </c>
      <c r="V14" s="29">
        <f t="shared" si="5"/>
        <v>-50000000</v>
      </c>
      <c r="W14" s="11" t="s">
        <v>1050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L27</f>
        <v>91515800.5</v>
      </c>
      <c r="G15" s="29">
        <f t="shared" si="0"/>
        <v>1484199.5</v>
      </c>
      <c r="H15" s="11"/>
      <c r="K15" s="2" t="s">
        <v>451</v>
      </c>
      <c r="L15" s="2" t="s">
        <v>452</v>
      </c>
      <c r="M15" s="11"/>
      <c r="N15" s="11" t="s">
        <v>755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299</v>
      </c>
      <c r="L16" s="43">
        <f>'مسکن ایلیا'!B202</f>
        <v>1984347</v>
      </c>
      <c r="M16" s="11" t="s">
        <v>756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11" t="s">
        <v>657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683</v>
      </c>
      <c r="L18" s="43">
        <v>1000000</v>
      </c>
      <c r="M18" s="11" t="s">
        <v>757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-7300000</v>
      </c>
      <c r="M19" s="11" t="s">
        <v>764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456</v>
      </c>
      <c r="L20" s="43">
        <v>529000</v>
      </c>
      <c r="M20" s="11" t="s">
        <v>765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735</v>
      </c>
      <c r="L21" s="43">
        <v>0</v>
      </c>
      <c r="M21" s="11" t="s">
        <v>766</v>
      </c>
      <c r="N21" s="29">
        <f>-1*L19</f>
        <v>7300000</v>
      </c>
      <c r="S21" s="29"/>
      <c r="T21" s="11"/>
      <c r="U21" s="11"/>
      <c r="V21" s="11"/>
      <c r="W21" s="11" t="s">
        <v>723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939</v>
      </c>
      <c r="L22" s="43">
        <v>4800000</v>
      </c>
      <c r="M22" s="11" t="s">
        <v>758</v>
      </c>
      <c r="N22" s="29">
        <v>980000</v>
      </c>
      <c r="P22" t="s">
        <v>25</v>
      </c>
      <c r="S22" s="11"/>
      <c r="T22" s="11"/>
      <c r="U22" s="11"/>
      <c r="V22" s="11"/>
      <c r="W22" s="11" t="s">
        <v>759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952</v>
      </c>
      <c r="L23" s="43">
        <f>'لیست خرید و فروش'!X32</f>
        <v>184803608</v>
      </c>
      <c r="M23" s="11" t="s">
        <v>770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1047</v>
      </c>
      <c r="L24" s="43">
        <f>-'لیست خرید و فروش'!Z15</f>
        <v>-94401165.5</v>
      </c>
      <c r="M24" s="11" t="s">
        <v>906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1048</v>
      </c>
      <c r="N25" s="29">
        <f>-L24</f>
        <v>94401165.5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11"/>
      <c r="L26" s="43"/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598</v>
      </c>
      <c r="L27" s="3">
        <f>SUM(L16:L24)</f>
        <v>91515800.5</v>
      </c>
      <c r="M27" s="11"/>
      <c r="N27" s="29">
        <f>SUM(N16:N25)</f>
        <v>154467365.5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2" t="s">
        <v>599</v>
      </c>
      <c r="L28" s="3">
        <f>L16+L17+L20</f>
        <v>2613358</v>
      </c>
      <c r="M28" s="11"/>
      <c r="N28" s="29">
        <f>N16+N17+N22</f>
        <v>9566200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K29" s="56" t="s">
        <v>718</v>
      </c>
      <c r="L29" s="1">
        <f>L27+N7</f>
        <v>148515800.5</v>
      </c>
      <c r="M29" s="29"/>
      <c r="N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3"/>
      <c r="L34" s="11" t="s">
        <v>304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305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321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1" t="s">
        <v>306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307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308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309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31" t="s">
        <v>310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18" t="s">
        <v>311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312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313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315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316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317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611</v>
      </c>
      <c r="K48" s="32" t="s">
        <v>327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318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319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320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322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324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32" t="s">
        <v>314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 t="s">
        <v>478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  <c r="K59" s="2" t="s">
        <v>328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799</v>
      </c>
      <c r="L65" s="48" t="s">
        <v>476</v>
      </c>
    </row>
    <row r="66" spans="1:12" x14ac:dyDescent="0.25">
      <c r="K66" s="48">
        <v>1200000</v>
      </c>
      <c r="L66" s="48" t="s">
        <v>1079</v>
      </c>
    </row>
    <row r="67" spans="1:12" x14ac:dyDescent="0.25">
      <c r="A67" t="s">
        <v>25</v>
      </c>
      <c r="K67" s="47">
        <v>500000</v>
      </c>
      <c r="L67" s="48" t="s">
        <v>479</v>
      </c>
    </row>
    <row r="68" spans="1:12" x14ac:dyDescent="0.25">
      <c r="K68" s="47">
        <v>130000</v>
      </c>
      <c r="L68" s="48" t="s">
        <v>558</v>
      </c>
    </row>
    <row r="69" spans="1:12" x14ac:dyDescent="0.25">
      <c r="K69" s="47">
        <v>300000</v>
      </c>
      <c r="L69" s="48" t="s">
        <v>795</v>
      </c>
    </row>
    <row r="70" spans="1:12" x14ac:dyDescent="0.25">
      <c r="K70" s="47">
        <v>500000</v>
      </c>
      <c r="L70" s="48" t="s">
        <v>796</v>
      </c>
    </row>
    <row r="71" spans="1:12" x14ac:dyDescent="0.25">
      <c r="K71" s="47">
        <v>500000</v>
      </c>
      <c r="L71" s="48" t="s">
        <v>797</v>
      </c>
    </row>
    <row r="72" spans="1:12" x14ac:dyDescent="0.25">
      <c r="K72" s="47">
        <v>75000</v>
      </c>
      <c r="L72" s="48" t="s">
        <v>798</v>
      </c>
    </row>
    <row r="73" spans="1:12" x14ac:dyDescent="0.25">
      <c r="K73" s="47">
        <v>450000</v>
      </c>
      <c r="L73" s="48" t="s">
        <v>800</v>
      </c>
    </row>
    <row r="74" spans="1:12" x14ac:dyDescent="0.25">
      <c r="K74" s="47">
        <v>500000</v>
      </c>
      <c r="L74" s="48" t="s">
        <v>564</v>
      </c>
    </row>
    <row r="75" spans="1:12" x14ac:dyDescent="0.25">
      <c r="K75" s="47">
        <v>50000</v>
      </c>
      <c r="L75" s="48" t="s">
        <v>803</v>
      </c>
    </row>
    <row r="76" spans="1:12" x14ac:dyDescent="0.25">
      <c r="K76" s="47">
        <v>140000</v>
      </c>
      <c r="L76" s="48" t="s">
        <v>314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4345000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402</v>
      </c>
      <c r="F2">
        <v>1</v>
      </c>
      <c r="G2">
        <f>B2*(E2-F2)</f>
        <v>20050000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396</v>
      </c>
      <c r="F3">
        <v>1</v>
      </c>
      <c r="G3">
        <f t="shared" ref="G3:G21" si="1">B3*(E3-F3)</f>
        <v>5925000000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394</v>
      </c>
      <c r="F4">
        <v>0</v>
      </c>
      <c r="G4">
        <f t="shared" si="1"/>
        <v>-1182000000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393</v>
      </c>
      <c r="F5">
        <v>0</v>
      </c>
      <c r="G5">
        <f t="shared" si="1"/>
        <v>-1257953700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391</v>
      </c>
      <c r="F6">
        <v>0</v>
      </c>
      <c r="G6">
        <f t="shared" si="1"/>
        <v>-1173351900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389</v>
      </c>
      <c r="F7">
        <v>0</v>
      </c>
      <c r="G7">
        <f t="shared" si="1"/>
        <v>-2258495100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367</v>
      </c>
      <c r="F8">
        <v>0</v>
      </c>
      <c r="G8">
        <f t="shared" si="1"/>
        <v>19971039</v>
      </c>
    </row>
    <row r="9" spans="1:7" x14ac:dyDescent="0.25">
      <c r="A9" t="s">
        <v>815</v>
      </c>
      <c r="B9" s="3">
        <v>-80000</v>
      </c>
      <c r="C9" t="s">
        <v>827</v>
      </c>
      <c r="D9">
        <v>65</v>
      </c>
      <c r="E9">
        <f t="shared" si="0"/>
        <v>95</v>
      </c>
      <c r="F9">
        <v>1</v>
      </c>
      <c r="G9">
        <f>B9*(E9-F9)</f>
        <v>-7520000</v>
      </c>
    </row>
    <row r="10" spans="1:7" x14ac:dyDescent="0.25">
      <c r="A10" t="s">
        <v>910</v>
      </c>
      <c r="B10" s="3">
        <v>850000</v>
      </c>
      <c r="C10" t="s">
        <v>916</v>
      </c>
      <c r="D10">
        <v>14</v>
      </c>
      <c r="E10">
        <f t="shared" si="0"/>
        <v>30</v>
      </c>
      <c r="F10">
        <v>1</v>
      </c>
      <c r="G10">
        <f t="shared" si="1"/>
        <v>24650000</v>
      </c>
    </row>
    <row r="11" spans="1:7" x14ac:dyDescent="0.25">
      <c r="A11" t="s">
        <v>932</v>
      </c>
      <c r="B11" s="3">
        <v>-700000</v>
      </c>
      <c r="C11" t="s">
        <v>942</v>
      </c>
      <c r="D11">
        <v>6</v>
      </c>
      <c r="E11">
        <f t="shared" si="0"/>
        <v>16</v>
      </c>
      <c r="F11">
        <v>1</v>
      </c>
      <c r="G11">
        <f t="shared" si="1"/>
        <v>-10500000</v>
      </c>
    </row>
    <row r="12" spans="1:7" x14ac:dyDescent="0.25">
      <c r="A12" t="s">
        <v>940</v>
      </c>
      <c r="B12" s="3">
        <v>1000000</v>
      </c>
      <c r="C12" t="s">
        <v>943</v>
      </c>
      <c r="D12">
        <v>8</v>
      </c>
      <c r="E12">
        <f t="shared" si="0"/>
        <v>10</v>
      </c>
      <c r="F12">
        <v>1</v>
      </c>
      <c r="G12">
        <f t="shared" si="1"/>
        <v>9000000</v>
      </c>
    </row>
    <row r="13" spans="1:7" x14ac:dyDescent="0.25">
      <c r="A13" t="s">
        <v>1074</v>
      </c>
      <c r="B13" s="3">
        <v>4857</v>
      </c>
      <c r="C13" t="s">
        <v>475</v>
      </c>
      <c r="D13">
        <v>1</v>
      </c>
      <c r="E13">
        <f t="shared" si="0"/>
        <v>2</v>
      </c>
      <c r="F13">
        <v>1</v>
      </c>
      <c r="G13">
        <f t="shared" si="1"/>
        <v>4857</v>
      </c>
    </row>
    <row r="14" spans="1:7" x14ac:dyDescent="0.25">
      <c r="A14" t="s">
        <v>1080</v>
      </c>
      <c r="B14" s="3">
        <v>-191000</v>
      </c>
      <c r="C14" t="s">
        <v>942</v>
      </c>
      <c r="D14">
        <v>1</v>
      </c>
      <c r="E14">
        <f t="shared" si="0"/>
        <v>1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980574</v>
      </c>
      <c r="G27" s="7">
        <f>SUM(G2:G21)</f>
        <v>108855196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270784.0696517413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6500</v>
      </c>
      <c r="H31" s="11" t="s">
        <v>711</v>
      </c>
      <c r="I31" s="11">
        <v>224500</v>
      </c>
      <c r="J31" s="11" t="s">
        <v>477</v>
      </c>
    </row>
    <row r="32" spans="2:21" x14ac:dyDescent="0.25">
      <c r="G32" s="11">
        <f t="shared" si="6"/>
        <v>46000</v>
      </c>
      <c r="H32" s="59" t="s">
        <v>805</v>
      </c>
      <c r="I32" s="11">
        <v>185000</v>
      </c>
      <c r="J32" s="11" t="s">
        <v>558</v>
      </c>
    </row>
    <row r="33" spans="6:23" x14ac:dyDescent="0.25">
      <c r="G33" s="11">
        <f t="shared" si="6"/>
        <v>6500</v>
      </c>
      <c r="H33" s="11" t="s">
        <v>711</v>
      </c>
      <c r="I33" s="11">
        <v>224500</v>
      </c>
      <c r="J33" s="11" t="s">
        <v>566</v>
      </c>
    </row>
    <row r="34" spans="6:23" x14ac:dyDescent="0.25">
      <c r="G34" s="11">
        <f t="shared" si="6"/>
        <v>6500</v>
      </c>
      <c r="H34" s="11" t="s">
        <v>711</v>
      </c>
      <c r="I34" s="11">
        <v>224500</v>
      </c>
      <c r="J34" s="11" t="s">
        <v>567</v>
      </c>
    </row>
    <row r="35" spans="6:23" x14ac:dyDescent="0.25">
      <c r="G35" s="11">
        <f t="shared" si="6"/>
        <v>6500</v>
      </c>
      <c r="H35" s="11" t="s">
        <v>711</v>
      </c>
      <c r="I35" s="11">
        <v>224500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748</v>
      </c>
      <c r="I39" s="11">
        <v>190000</v>
      </c>
      <c r="J39" s="11" t="s">
        <v>747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746</v>
      </c>
      <c r="I40" s="11">
        <v>225000</v>
      </c>
      <c r="J40" s="11" t="s">
        <v>745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793</v>
      </c>
      <c r="I41" s="11">
        <v>216000</v>
      </c>
      <c r="J41" s="11" t="s">
        <v>792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793</v>
      </c>
      <c r="I42" s="11">
        <v>216000</v>
      </c>
      <c r="J42" s="11" t="s">
        <v>794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828</v>
      </c>
      <c r="I43" s="11">
        <v>227000</v>
      </c>
      <c r="J43" s="11" t="s">
        <v>829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2018-03-27T00:24:38Z</dcterms:modified>
</cp:coreProperties>
</file>