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T130" i="18" l="1"/>
  <c r="R126" i="18"/>
  <c r="D270" i="20"/>
  <c r="N50" i="18"/>
  <c r="B277" i="20" l="1"/>
  <c r="K271" i="20"/>
  <c r="K272" i="20"/>
  <c r="K273" i="20"/>
  <c r="K274" i="20"/>
  <c r="K275" i="20"/>
  <c r="J271" i="20"/>
  <c r="J272" i="20"/>
  <c r="J273" i="20"/>
  <c r="J274" i="20"/>
  <c r="J275" i="20"/>
  <c r="I271" i="20"/>
  <c r="I272" i="20"/>
  <c r="I273" i="20"/>
  <c r="I274" i="20"/>
  <c r="I275" i="20"/>
  <c r="H270" i="20"/>
  <c r="H271" i="20"/>
  <c r="H272" i="20"/>
  <c r="H273" i="20"/>
  <c r="H274" i="20"/>
  <c r="H275" i="20"/>
  <c r="G275" i="20"/>
  <c r="G274" i="20" s="1"/>
  <c r="G273" i="20" s="1"/>
  <c r="G272" i="20" s="1"/>
  <c r="G271" i="20" s="1"/>
  <c r="G270" i="20" s="1"/>
  <c r="G269" i="20" s="1"/>
  <c r="G268" i="20" s="1"/>
  <c r="D269" i="20"/>
  <c r="H269" i="20"/>
  <c r="I270" i="20" l="1"/>
  <c r="J270" i="20"/>
  <c r="I269" i="20"/>
  <c r="K269" i="20"/>
  <c r="J269" i="20"/>
  <c r="K270" i="20"/>
  <c r="S55" i="18"/>
  <c r="N49" i="18"/>
  <c r="D57" i="54" l="1"/>
  <c r="B27" i="52" l="1"/>
  <c r="D3" i="54"/>
  <c r="D4" i="54"/>
  <c r="I4" i="54" s="1"/>
  <c r="D5" i="54"/>
  <c r="I5" i="54" s="1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I10" i="54"/>
  <c r="H9" i="54"/>
  <c r="G9" i="54"/>
  <c r="I9" i="54"/>
  <c r="H8" i="54"/>
  <c r="G8" i="54"/>
  <c r="I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3" i="18"/>
  <c r="N104" i="18"/>
  <c r="N105" i="18"/>
  <c r="N106" i="18"/>
  <c r="N107" i="18"/>
  <c r="N108" i="18"/>
  <c r="N109" i="18"/>
  <c r="N110" i="18"/>
  <c r="N102" i="18"/>
  <c r="C277" i="20" l="1"/>
  <c r="M13" i="52"/>
  <c r="M12" i="52"/>
  <c r="M6" i="52"/>
  <c r="L12" i="52" s="1"/>
  <c r="N4" i="52"/>
  <c r="N3" i="52"/>
  <c r="N2" i="52"/>
  <c r="K19" i="52" l="1"/>
  <c r="N6" i="52"/>
  <c r="M8" i="52" s="1"/>
  <c r="AJ102" i="18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5" i="18" l="1"/>
  <c r="U127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4" i="18" l="1"/>
  <c r="P28" i="18"/>
  <c r="N28" i="18" s="1"/>
  <c r="P24" i="18"/>
  <c r="N24" i="18" s="1"/>
  <c r="N47" i="18" l="1"/>
  <c r="AS38" i="18"/>
  <c r="N48" i="18" l="1"/>
  <c r="L33" i="18" l="1"/>
  <c r="W118" i="18" l="1"/>
  <c r="W119" i="18"/>
  <c r="W120" i="18"/>
  <c r="W121" i="18"/>
  <c r="W122" i="18"/>
  <c r="W123" i="18"/>
  <c r="W126" i="18"/>
  <c r="W117" i="18"/>
  <c r="N51" i="18" l="1"/>
  <c r="R153" i="18" l="1"/>
  <c r="R162" i="18"/>
  <c r="R140" i="18"/>
  <c r="T143" i="18" l="1"/>
  <c r="T101" i="18"/>
  <c r="S39" i="18"/>
  <c r="S40" i="18" s="1"/>
  <c r="S41" i="18" s="1"/>
  <c r="R122" i="18"/>
  <c r="R121" i="18"/>
  <c r="R120" i="18"/>
  <c r="AJ146" i="18"/>
  <c r="D57" i="51"/>
  <c r="S42" i="18" l="1"/>
  <c r="S43" i="18" s="1"/>
  <c r="S44" i="18" s="1"/>
  <c r="M76" i="18" l="1"/>
  <c r="P27" i="18" l="1"/>
  <c r="N27" i="18" s="1"/>
  <c r="R119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6" i="18"/>
  <c r="AL139" i="18" l="1"/>
  <c r="AM140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6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B263" i="15"/>
  <c r="AJ150" i="18" l="1"/>
  <c r="AJ151" i="18" s="1"/>
  <c r="R118" i="18"/>
  <c r="AL131" i="18"/>
  <c r="AM132" i="18"/>
  <c r="Q34" i="18"/>
  <c r="AM84" i="18"/>
  <c r="AL83" i="18"/>
  <c r="AL130" i="18" l="1"/>
  <c r="AM131" i="18"/>
  <c r="AM83" i="18"/>
  <c r="AL82" i="18"/>
  <c r="S56" i="18"/>
  <c r="S57" i="18" s="1"/>
  <c r="AM130" i="18" l="1"/>
  <c r="AL129" i="18"/>
  <c r="AL81" i="18"/>
  <c r="AM82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8" i="18"/>
  <c r="S59" i="18" l="1"/>
  <c r="S60" i="18" s="1"/>
  <c r="S61" i="18" s="1"/>
  <c r="S62" i="18" s="1"/>
  <c r="S63" i="18" s="1"/>
  <c r="S64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6" i="18"/>
  <c r="AC15" i="33"/>
  <c r="AM121" i="18" l="1"/>
  <c r="AL120" i="18"/>
  <c r="S67" i="18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N16" i="33"/>
  <c r="AM120" i="18" l="1"/>
  <c r="AL119" i="18"/>
  <c r="AM119" i="18" s="1"/>
  <c r="AM146" i="18" s="1"/>
  <c r="AN146" i="18" s="1"/>
  <c r="AJ149" i="18" s="1"/>
  <c r="S84" i="18"/>
  <c r="S8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S86" i="18" l="1"/>
  <c r="S87" i="18" s="1"/>
  <c r="S88" i="18" s="1"/>
  <c r="S89" i="18" s="1"/>
  <c r="S90" i="18" s="1"/>
  <c r="AJ152" i="18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76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76" i="20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76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76" i="20" l="1"/>
  <c r="J276" i="20"/>
  <c r="K276" i="20"/>
  <c r="G267" i="20" l="1"/>
  <c r="J268" i="20"/>
  <c r="I268" i="20"/>
  <c r="K268" i="20"/>
  <c r="AL79" i="18"/>
  <c r="G25" i="46"/>
  <c r="H25" i="46"/>
  <c r="D25" i="46"/>
  <c r="I25" i="46" s="1"/>
  <c r="G266" i="20" l="1"/>
  <c r="J267" i="20"/>
  <c r="K267" i="20"/>
  <c r="I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5" i="20" l="1"/>
  <c r="I266" i="20"/>
  <c r="K266" i="20"/>
  <c r="J266" i="20"/>
  <c r="AL77" i="18"/>
  <c r="AM78" i="18"/>
  <c r="N56" i="18"/>
  <c r="G264" i="20" l="1"/>
  <c r="J265" i="20"/>
  <c r="I265" i="20"/>
  <c r="K265" i="20"/>
  <c r="AL76" i="18"/>
  <c r="AM77" i="18"/>
  <c r="G263" i="20" l="1"/>
  <c r="K264" i="20"/>
  <c r="I264" i="20"/>
  <c r="J264" i="20"/>
  <c r="AL75" i="18"/>
  <c r="AM76" i="18"/>
  <c r="N42" i="18"/>
  <c r="Q93" i="18" s="1"/>
  <c r="AJ108" i="18" l="1"/>
  <c r="AJ109" i="18" s="1"/>
  <c r="R117" i="18"/>
  <c r="K263" i="20"/>
  <c r="I263" i="20"/>
  <c r="G262" i="20"/>
  <c r="J263" i="20"/>
  <c r="AL74" i="18"/>
  <c r="AM75" i="18"/>
  <c r="G261" i="20" l="1"/>
  <c r="I262" i="20"/>
  <c r="K262" i="20"/>
  <c r="J262" i="20"/>
  <c r="U143" i="18"/>
  <c r="AL73" i="18"/>
  <c r="AM74" i="18"/>
  <c r="N82" i="18"/>
  <c r="V88" i="18" l="1"/>
  <c r="V90" i="18"/>
  <c r="V89" i="18"/>
  <c r="W88" i="18"/>
  <c r="X88" i="18"/>
  <c r="K261" i="20"/>
  <c r="J261" i="20"/>
  <c r="G260" i="20"/>
  <c r="I261" i="20"/>
  <c r="V87" i="18"/>
  <c r="V32" i="18"/>
  <c r="V85" i="18"/>
  <c r="X85" i="18" s="1"/>
  <c r="V86" i="18"/>
  <c r="V83" i="18"/>
  <c r="V84" i="18"/>
  <c r="V82" i="18"/>
  <c r="V81" i="18"/>
  <c r="V31" i="18"/>
  <c r="W31" i="18" s="1"/>
  <c r="V80" i="18"/>
  <c r="V79" i="18"/>
  <c r="W79" i="18" s="1"/>
  <c r="V44" i="18"/>
  <c r="V30" i="18"/>
  <c r="X30" i="18" s="1"/>
  <c r="V43" i="18"/>
  <c r="V77" i="18"/>
  <c r="V78" i="18"/>
  <c r="V45" i="18"/>
  <c r="V41" i="18"/>
  <c r="V42" i="18"/>
  <c r="V29" i="18"/>
  <c r="W29" i="18" s="1"/>
  <c r="V76" i="18"/>
  <c r="V74" i="18"/>
  <c r="W74" i="18" s="1"/>
  <c r="V75" i="18"/>
  <c r="S105" i="18"/>
  <c r="V72" i="18"/>
  <c r="W72" i="18" s="1"/>
  <c r="V73" i="18"/>
  <c r="V69" i="18"/>
  <c r="W69" i="18" s="1"/>
  <c r="V71" i="18"/>
  <c r="V70" i="18"/>
  <c r="V143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W89" i="18" l="1"/>
  <c r="X89" i="18"/>
  <c r="W90" i="18"/>
  <c r="X90" i="18"/>
  <c r="W85" i="18"/>
  <c r="J260" i="20"/>
  <c r="I260" i="20"/>
  <c r="G259" i="20"/>
  <c r="K260" i="20"/>
  <c r="W32" i="18"/>
  <c r="X32" i="18"/>
  <c r="W87" i="18"/>
  <c r="X87" i="18"/>
  <c r="W86" i="18"/>
  <c r="X86" i="18"/>
  <c r="W84" i="18"/>
  <c r="X84" i="18"/>
  <c r="X83" i="18"/>
  <c r="W83" i="18"/>
  <c r="W81" i="18"/>
  <c r="X81" i="18"/>
  <c r="W82" i="18"/>
  <c r="X82" i="18"/>
  <c r="X31" i="18"/>
  <c r="W80" i="18"/>
  <c r="X80" i="18"/>
  <c r="X79" i="18"/>
  <c r="W44" i="18"/>
  <c r="X44" i="18"/>
  <c r="W30" i="18"/>
  <c r="W43" i="18"/>
  <c r="X43" i="18"/>
  <c r="W78" i="18"/>
  <c r="X78" i="18"/>
  <c r="W77" i="18"/>
  <c r="X77" i="18"/>
  <c r="X41" i="18"/>
  <c r="W41" i="18"/>
  <c r="W42" i="18"/>
  <c r="X42" i="18"/>
  <c r="W45" i="18"/>
  <c r="X45" i="18"/>
  <c r="W76" i="18"/>
  <c r="X76" i="18"/>
  <c r="X29" i="18"/>
  <c r="X74" i="18"/>
  <c r="W75" i="18"/>
  <c r="X75" i="18"/>
  <c r="X72" i="18"/>
  <c r="X73" i="18"/>
  <c r="W73" i="18"/>
  <c r="X69" i="18"/>
  <c r="W70" i="18"/>
  <c r="X70" i="18"/>
  <c r="W71" i="18"/>
  <c r="X71" i="18"/>
  <c r="V133" i="18"/>
  <c r="S104" i="18"/>
  <c r="N31" i="18" s="1"/>
  <c r="L21" i="18" s="1"/>
  <c r="N59" i="18"/>
  <c r="S103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G258" i="20" l="1"/>
  <c r="K259" i="20"/>
  <c r="J259" i="20"/>
  <c r="I259" i="20"/>
  <c r="U104" i="18"/>
  <c r="V104" i="18" s="1"/>
  <c r="AL70" i="18"/>
  <c r="AM71" i="18"/>
  <c r="G257" i="20" l="1"/>
  <c r="K258" i="20"/>
  <c r="J258" i="20"/>
  <c r="I258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6" i="20" l="1"/>
  <c r="I257" i="20"/>
  <c r="J257" i="20"/>
  <c r="K257" i="20"/>
  <c r="AL68" i="18"/>
  <c r="AM69" i="18"/>
  <c r="N2" i="33"/>
  <c r="G255" i="20" l="1"/>
  <c r="K256" i="20"/>
  <c r="J256" i="20"/>
  <c r="I256" i="20"/>
  <c r="AL67" i="18"/>
  <c r="AM68" i="18"/>
  <c r="I2" i="33"/>
  <c r="E2" i="33"/>
  <c r="J2" i="33"/>
  <c r="F2" i="33"/>
  <c r="K2" i="33"/>
  <c r="G2" i="33"/>
  <c r="D2" i="33"/>
  <c r="C2" i="33"/>
  <c r="H2" i="33"/>
  <c r="D73" i="45"/>
  <c r="G254" i="20" l="1"/>
  <c r="I255" i="20"/>
  <c r="J255" i="20"/>
  <c r="K255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K254" i="20" l="1"/>
  <c r="I254" i="20"/>
  <c r="J254" i="20"/>
  <c r="G253" i="20"/>
  <c r="AL65" i="18"/>
  <c r="AM66" i="18"/>
  <c r="E45" i="14"/>
  <c r="G252" i="20" l="1"/>
  <c r="J253" i="20"/>
  <c r="I253" i="20"/>
  <c r="K253" i="20"/>
  <c r="AL64" i="18"/>
  <c r="AM65" i="18"/>
  <c r="E44" i="14"/>
  <c r="K252" i="20" l="1"/>
  <c r="I252" i="20"/>
  <c r="G251" i="20"/>
  <c r="J252" i="20"/>
  <c r="AM64" i="18"/>
  <c r="AL63" i="18"/>
  <c r="E43" i="14"/>
  <c r="G250" i="20" l="1"/>
  <c r="J251" i="20"/>
  <c r="I251" i="20"/>
  <c r="K251" i="20"/>
  <c r="AL62" i="18"/>
  <c r="AM63" i="18"/>
  <c r="E42" i="14"/>
  <c r="G42" i="14" s="1"/>
  <c r="G249" i="20" l="1"/>
  <c r="J250" i="20"/>
  <c r="I250" i="20"/>
  <c r="K250" i="20"/>
  <c r="AL61" i="18"/>
  <c r="AM62" i="18"/>
  <c r="E41" i="14"/>
  <c r="G41" i="14" s="1"/>
  <c r="I249" i="20" l="1"/>
  <c r="G248" i="20"/>
  <c r="K249" i="20"/>
  <c r="J249" i="20"/>
  <c r="AM61" i="18"/>
  <c r="AL60" i="18"/>
  <c r="E40" i="14"/>
  <c r="G40" i="14" s="1"/>
  <c r="G247" i="20" l="1"/>
  <c r="I248" i="20"/>
  <c r="J248" i="20"/>
  <c r="K248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6" i="20" l="1"/>
  <c r="K247" i="20"/>
  <c r="I247" i="20"/>
  <c r="J247" i="20"/>
  <c r="AM59" i="18"/>
  <c r="AL58" i="18"/>
  <c r="E38" i="14"/>
  <c r="G38" i="14" s="1"/>
  <c r="G245" i="20" l="1"/>
  <c r="J246" i="20"/>
  <c r="K246" i="20"/>
  <c r="I246" i="20"/>
  <c r="AL57" i="18"/>
  <c r="AM58" i="18"/>
  <c r="E37" i="14"/>
  <c r="G37" i="14" s="1"/>
  <c r="G244" i="20" l="1"/>
  <c r="I245" i="20"/>
  <c r="K245" i="20"/>
  <c r="J245" i="20"/>
  <c r="AL56" i="18"/>
  <c r="AM57" i="18"/>
  <c r="E36" i="14"/>
  <c r="G36" i="14" s="1"/>
  <c r="B105" i="13"/>
  <c r="B196" i="13" s="1"/>
  <c r="K244" i="20" l="1"/>
  <c r="J244" i="20"/>
  <c r="G243" i="20"/>
  <c r="I244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42" i="20" l="1"/>
  <c r="K243" i="20"/>
  <c r="I243" i="20"/>
  <c r="J243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1" i="20" l="1"/>
  <c r="K242" i="20"/>
  <c r="I242" i="20"/>
  <c r="J242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0" i="20" l="1"/>
  <c r="I241" i="20"/>
  <c r="K241" i="20"/>
  <c r="J241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9" i="20" l="1"/>
  <c r="K240" i="20"/>
  <c r="I240" i="20"/>
  <c r="J240" i="20"/>
  <c r="H33" i="48"/>
  <c r="B27" i="50"/>
  <c r="D2" i="50"/>
  <c r="G2" i="50"/>
  <c r="G28" i="50" s="1"/>
  <c r="AL51" i="18"/>
  <c r="AM52" i="18"/>
  <c r="D27" i="48"/>
  <c r="E253" i="15"/>
  <c r="E252" i="15"/>
  <c r="G238" i="20" l="1"/>
  <c r="I239" i="20"/>
  <c r="K239" i="20"/>
  <c r="J239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38" i="20" l="1"/>
  <c r="K238" i="20"/>
  <c r="G237" i="20"/>
  <c r="I238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37" i="20" l="1"/>
  <c r="I237" i="20"/>
  <c r="G236" i="20"/>
  <c r="J237" i="20"/>
  <c r="AL48" i="18"/>
  <c r="AM49" i="18"/>
  <c r="E30" i="14"/>
  <c r="G31" i="14"/>
  <c r="E248" i="15"/>
  <c r="G235" i="20" l="1"/>
  <c r="J236" i="20"/>
  <c r="K236" i="20"/>
  <c r="I236" i="20"/>
  <c r="AL47" i="18"/>
  <c r="AM48" i="18"/>
  <c r="E29" i="14"/>
  <c r="G30" i="14"/>
  <c r="E247" i="15"/>
  <c r="E246" i="15"/>
  <c r="G234" i="20" l="1"/>
  <c r="I235" i="20"/>
  <c r="J235" i="20"/>
  <c r="K235" i="20"/>
  <c r="AL46" i="18"/>
  <c r="AM47" i="18"/>
  <c r="E28" i="14"/>
  <c r="G29" i="14"/>
  <c r="E245" i="15"/>
  <c r="K234" i="20" l="1"/>
  <c r="I234" i="20"/>
  <c r="G233" i="20"/>
  <c r="J234" i="20"/>
  <c r="AM46" i="18"/>
  <c r="AL45" i="18"/>
  <c r="E27" i="14"/>
  <c r="G28" i="14"/>
  <c r="N15" i="33"/>
  <c r="E244" i="15"/>
  <c r="J233" i="20" l="1"/>
  <c r="K233" i="20"/>
  <c r="G232" i="20"/>
  <c r="I233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31" i="20" l="1"/>
  <c r="J232" i="20"/>
  <c r="K232" i="20"/>
  <c r="I232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30" i="20" l="1"/>
  <c r="K231" i="20"/>
  <c r="I231" i="20"/>
  <c r="J231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9" i="20" l="1"/>
  <c r="K230" i="20"/>
  <c r="I230" i="20"/>
  <c r="J230" i="20"/>
  <c r="AL41" i="18"/>
  <c r="AM42" i="18"/>
  <c r="E23" i="14"/>
  <c r="G24" i="14"/>
  <c r="H25" i="43"/>
  <c r="G2" i="43"/>
  <c r="G25" i="43" s="1"/>
  <c r="G30" i="43" s="1"/>
  <c r="H30" i="43" s="1"/>
  <c r="G228" i="20" l="1"/>
  <c r="J229" i="20"/>
  <c r="K229" i="20"/>
  <c r="I229" i="20"/>
  <c r="AM41" i="18"/>
  <c r="AL40" i="18"/>
  <c r="E22" i="14"/>
  <c r="G23" i="14"/>
  <c r="I2" i="43"/>
  <c r="I25" i="43" s="1"/>
  <c r="I30" i="43" s="1"/>
  <c r="D24" i="43"/>
  <c r="J228" i="20" l="1"/>
  <c r="I228" i="20"/>
  <c r="G227" i="20"/>
  <c r="K228" i="20"/>
  <c r="AL39" i="18"/>
  <c r="AM40" i="18"/>
  <c r="E21" i="14"/>
  <c r="E20" i="14" s="1"/>
  <c r="E19" i="14" s="1"/>
  <c r="E18" i="14" s="1"/>
  <c r="G22" i="14"/>
  <c r="E243" i="15"/>
  <c r="G226" i="20" l="1"/>
  <c r="K227" i="20"/>
  <c r="J227" i="20"/>
  <c r="I227" i="20"/>
  <c r="AM39" i="18"/>
  <c r="AL38" i="18"/>
  <c r="E242" i="15"/>
  <c r="G225" i="20" l="1"/>
  <c r="J226" i="20"/>
  <c r="I226" i="20"/>
  <c r="K226" i="20"/>
  <c r="AL37" i="18"/>
  <c r="AM38" i="18"/>
  <c r="J57" i="33"/>
  <c r="J55" i="33"/>
  <c r="J54" i="33"/>
  <c r="J225" i="20" l="1"/>
  <c r="I225" i="20"/>
  <c r="G224" i="20"/>
  <c r="K225" i="20"/>
  <c r="AL36" i="18"/>
  <c r="AM37" i="18"/>
  <c r="L57" i="33"/>
  <c r="E241" i="15"/>
  <c r="G223" i="20" l="1"/>
  <c r="J224" i="20"/>
  <c r="I224" i="20"/>
  <c r="K224" i="20"/>
  <c r="AM36" i="18"/>
  <c r="AL35" i="18"/>
  <c r="D168" i="20"/>
  <c r="J223" i="20" l="1"/>
  <c r="I223" i="20"/>
  <c r="K223" i="20"/>
  <c r="G222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K222" i="20" l="1"/>
  <c r="I222" i="20"/>
  <c r="G221" i="20"/>
  <c r="J222" i="20"/>
  <c r="AL33" i="18"/>
  <c r="AM34" i="18"/>
  <c r="D252" i="15"/>
  <c r="F253" i="15"/>
  <c r="J221" i="20" l="1"/>
  <c r="I221" i="20"/>
  <c r="G220" i="20"/>
  <c r="K221" i="20"/>
  <c r="AL32" i="18"/>
  <c r="AM33" i="18"/>
  <c r="D251" i="15"/>
  <c r="F252" i="15"/>
  <c r="G219" i="20" l="1"/>
  <c r="I220" i="20"/>
  <c r="J220" i="20"/>
  <c r="K220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8" i="20" l="1"/>
  <c r="K219" i="20"/>
  <c r="I219" i="20"/>
  <c r="J219" i="20"/>
  <c r="AL30" i="18"/>
  <c r="AM31" i="18"/>
  <c r="D249" i="15"/>
  <c r="F250" i="15"/>
  <c r="L60" i="32"/>
  <c r="L48" i="32"/>
  <c r="G217" i="20" l="1"/>
  <c r="I218" i="20"/>
  <c r="K218" i="20"/>
  <c r="J218" i="20"/>
  <c r="AL29" i="18"/>
  <c r="AM30" i="18"/>
  <c r="F249" i="15"/>
  <c r="D248" i="15"/>
  <c r="J217" i="20" l="1"/>
  <c r="I217" i="20"/>
  <c r="K217" i="20"/>
  <c r="G216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5" i="20" l="1"/>
  <c r="J216" i="20"/>
  <c r="K216" i="20"/>
  <c r="I216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4" i="20" l="1"/>
  <c r="I215" i="20"/>
  <c r="K215" i="20"/>
  <c r="J215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3" i="20" l="1"/>
  <c r="I214" i="20"/>
  <c r="K214" i="20"/>
  <c r="J214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2" i="20" l="1"/>
  <c r="J213" i="20"/>
  <c r="K213" i="20"/>
  <c r="I213" i="20"/>
  <c r="AL24" i="18"/>
  <c r="AM25" i="18"/>
  <c r="E178" i="13"/>
  <c r="G179" i="13"/>
  <c r="D243" i="15"/>
  <c r="F244" i="15"/>
  <c r="G211" i="20" l="1"/>
  <c r="I212" i="20"/>
  <c r="J212" i="20"/>
  <c r="K212" i="20"/>
  <c r="AM24" i="18"/>
  <c r="AL23" i="18"/>
  <c r="E177" i="13"/>
  <c r="G178" i="13"/>
  <c r="F243" i="15"/>
  <c r="D242" i="15"/>
  <c r="G210" i="20" l="1"/>
  <c r="K211" i="20"/>
  <c r="J211" i="20"/>
  <c r="I211" i="20"/>
  <c r="AM23" i="18"/>
  <c r="AL22" i="18"/>
  <c r="E176" i="13"/>
  <c r="G177" i="13"/>
  <c r="F242" i="15"/>
  <c r="D241" i="15"/>
  <c r="D165" i="20"/>
  <c r="G209" i="20" l="1"/>
  <c r="K210" i="20"/>
  <c r="I210" i="20"/>
  <c r="J210" i="20"/>
  <c r="AL21" i="18"/>
  <c r="AL20" i="18" s="1"/>
  <c r="AM22" i="18"/>
  <c r="E175" i="13"/>
  <c r="G176" i="13"/>
  <c r="F241" i="15"/>
  <c r="D240" i="15"/>
  <c r="D164" i="20"/>
  <c r="G208" i="20" l="1"/>
  <c r="J209" i="20"/>
  <c r="I209" i="20"/>
  <c r="K209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7" i="20" l="1"/>
  <c r="K208" i="20"/>
  <c r="I208" i="20"/>
  <c r="J208" i="20"/>
  <c r="AM102" i="18"/>
  <c r="E173" i="13"/>
  <c r="G174" i="13"/>
  <c r="D238" i="15"/>
  <c r="F239" i="15"/>
  <c r="X720" i="41"/>
  <c r="U2123" i="41"/>
  <c r="G206" i="20" l="1"/>
  <c r="K207" i="20"/>
  <c r="I207" i="20"/>
  <c r="J207" i="20"/>
  <c r="AN102" i="18"/>
  <c r="AJ107" i="18" s="1"/>
  <c r="AJ111" i="18" s="1"/>
  <c r="E172" i="13"/>
  <c r="G173" i="13"/>
  <c r="D237" i="15"/>
  <c r="F238" i="15"/>
  <c r="D62" i="38"/>
  <c r="K206" i="20" l="1"/>
  <c r="G205" i="20"/>
  <c r="J206" i="20"/>
  <c r="I206" i="20"/>
  <c r="AJ110" i="18"/>
  <c r="E171" i="13"/>
  <c r="G172" i="13"/>
  <c r="F237" i="15"/>
  <c r="D236" i="15"/>
  <c r="G204" i="20" l="1"/>
  <c r="I205" i="20"/>
  <c r="K205" i="20"/>
  <c r="J205" i="20"/>
  <c r="E170" i="13"/>
  <c r="G171" i="13"/>
  <c r="D235" i="15"/>
  <c r="F236" i="15"/>
  <c r="K204" i="20" l="1"/>
  <c r="G203" i="20"/>
  <c r="J204" i="20"/>
  <c r="I204" i="20"/>
  <c r="E169" i="13"/>
  <c r="G170" i="13"/>
  <c r="F235" i="15"/>
  <c r="D234" i="15"/>
  <c r="D163" i="20"/>
  <c r="K203" i="20" l="1"/>
  <c r="I203" i="20"/>
  <c r="G202" i="20"/>
  <c r="J203" i="20"/>
  <c r="E168" i="13"/>
  <c r="G169" i="13"/>
  <c r="F234" i="15"/>
  <c r="D233" i="15"/>
  <c r="J202" i="20" l="1"/>
  <c r="I202" i="20"/>
  <c r="G201" i="20"/>
  <c r="K202" i="20"/>
  <c r="E167" i="13"/>
  <c r="G168" i="13"/>
  <c r="D232" i="15"/>
  <c r="F233" i="15"/>
  <c r="D162" i="20"/>
  <c r="I201" i="20" l="1"/>
  <c r="J201" i="20"/>
  <c r="G200" i="20"/>
  <c r="K201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9" i="20" l="1"/>
  <c r="J200" i="20"/>
  <c r="I200" i="20"/>
  <c r="K200" i="20"/>
  <c r="G72" i="16"/>
  <c r="E165" i="13"/>
  <c r="G166" i="13"/>
  <c r="F231" i="15"/>
  <c r="D230" i="15"/>
  <c r="G71" i="16"/>
  <c r="G70" i="16"/>
  <c r="G69" i="16"/>
  <c r="D160" i="20"/>
  <c r="G198" i="20" l="1"/>
  <c r="K199" i="20"/>
  <c r="J199" i="20"/>
  <c r="I199" i="20"/>
  <c r="E164" i="13"/>
  <c r="G165" i="13"/>
  <c r="F230" i="15"/>
  <c r="D229" i="15"/>
  <c r="D159" i="20"/>
  <c r="G197" i="20" l="1"/>
  <c r="K198" i="20"/>
  <c r="J198" i="20"/>
  <c r="I198" i="20"/>
  <c r="E163" i="13"/>
  <c r="G164" i="13"/>
  <c r="F229" i="15"/>
  <c r="D228" i="15"/>
  <c r="D158" i="20"/>
  <c r="D157" i="20"/>
  <c r="K197" i="20" l="1"/>
  <c r="J197" i="20"/>
  <c r="G196" i="20"/>
  <c r="I197" i="20"/>
  <c r="E162" i="13"/>
  <c r="G163" i="13"/>
  <c r="F228" i="15"/>
  <c r="D227" i="15"/>
  <c r="D156" i="20"/>
  <c r="G195" i="20" l="1"/>
  <c r="J196" i="20"/>
  <c r="K196" i="20"/>
  <c r="I196" i="20"/>
  <c r="E161" i="13"/>
  <c r="G162" i="13"/>
  <c r="F227" i="15"/>
  <c r="D226" i="15"/>
  <c r="D155" i="20"/>
  <c r="J195" i="20" l="1"/>
  <c r="I195" i="20"/>
  <c r="G194" i="20"/>
  <c r="K195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3" i="20" l="1"/>
  <c r="K194" i="20"/>
  <c r="I194" i="20"/>
  <c r="J194" i="20"/>
  <c r="E159" i="13"/>
  <c r="G160" i="13"/>
  <c r="G192" i="20" l="1"/>
  <c r="K193" i="20"/>
  <c r="I193" i="20"/>
  <c r="J193" i="20"/>
  <c r="E158" i="13"/>
  <c r="G159" i="13"/>
  <c r="D154" i="20"/>
  <c r="D153" i="20"/>
  <c r="G191" i="20" l="1"/>
  <c r="K192" i="20"/>
  <c r="I192" i="20"/>
  <c r="J192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90" i="20" l="1"/>
  <c r="K191" i="20"/>
  <c r="I191" i="20"/>
  <c r="J191" i="20"/>
  <c r="E156" i="13"/>
  <c r="G157" i="13"/>
  <c r="G189" i="20" l="1"/>
  <c r="J190" i="20"/>
  <c r="I190" i="20"/>
  <c r="K190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8" i="20" l="1"/>
  <c r="J189" i="20"/>
  <c r="K189" i="20"/>
  <c r="I189" i="20"/>
  <c r="E154" i="13"/>
  <c r="G155" i="13"/>
  <c r="I46" i="32"/>
  <c r="G187" i="20" l="1"/>
  <c r="J188" i="20"/>
  <c r="I188" i="20"/>
  <c r="K188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6" i="20" l="1"/>
  <c r="K187" i="20"/>
  <c r="J187" i="20"/>
  <c r="I187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5" i="20" l="1"/>
  <c r="K186" i="20"/>
  <c r="J186" i="20"/>
  <c r="I186" i="20"/>
  <c r="E151" i="13"/>
  <c r="G152" i="13"/>
  <c r="G184" i="20" l="1"/>
  <c r="J185" i="20"/>
  <c r="I185" i="20"/>
  <c r="K185" i="20"/>
  <c r="E150" i="13"/>
  <c r="G151" i="13"/>
  <c r="I184" i="20" l="1"/>
  <c r="K184" i="20"/>
  <c r="J184" i="20"/>
  <c r="G183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183" i="20" l="1"/>
  <c r="K183" i="20"/>
  <c r="G182" i="20"/>
  <c r="J183" i="20"/>
  <c r="E148" i="13"/>
  <c r="G149" i="13"/>
  <c r="K182" i="20" l="1"/>
  <c r="G181" i="20"/>
  <c r="J182" i="20"/>
  <c r="I182" i="20"/>
  <c r="E147" i="13"/>
  <c r="G148" i="13"/>
  <c r="G180" i="20" l="1"/>
  <c r="J181" i="20"/>
  <c r="K181" i="20"/>
  <c r="I181" i="20"/>
  <c r="E146" i="13"/>
  <c r="G147" i="13"/>
  <c r="K47" i="32"/>
  <c r="U47" i="32" s="1"/>
  <c r="U46" i="32"/>
  <c r="K180" i="20" l="1"/>
  <c r="G179" i="20"/>
  <c r="J180" i="20"/>
  <c r="I180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79" i="20" l="1"/>
  <c r="G178" i="20"/>
  <c r="K179" i="20"/>
  <c r="J179" i="20"/>
  <c r="E144" i="13"/>
  <c r="G145" i="13"/>
  <c r="AD15" i="32"/>
  <c r="AB15" i="32"/>
  <c r="Z34" i="32"/>
  <c r="G45" i="10"/>
  <c r="D42" i="34"/>
  <c r="G177" i="20" l="1"/>
  <c r="J178" i="20"/>
  <c r="K178" i="20"/>
  <c r="I178" i="20"/>
  <c r="E143" i="13"/>
  <c r="G144" i="13"/>
  <c r="AC16" i="32"/>
  <c r="AD16" i="32"/>
  <c r="AB16" i="32"/>
  <c r="G176" i="20" l="1"/>
  <c r="J177" i="20"/>
  <c r="I177" i="20"/>
  <c r="K177" i="20"/>
  <c r="E142" i="13"/>
  <c r="G143" i="13"/>
  <c r="J176" i="20" l="1"/>
  <c r="I176" i="20"/>
  <c r="G175" i="20"/>
  <c r="K176" i="20"/>
  <c r="E141" i="13"/>
  <c r="G142" i="13"/>
  <c r="U8" i="32"/>
  <c r="K175" i="20" l="1"/>
  <c r="I175" i="20"/>
  <c r="G174" i="20"/>
  <c r="J175" i="20"/>
  <c r="E140" i="13"/>
  <c r="G141" i="13"/>
  <c r="J174" i="20" l="1"/>
  <c r="G173" i="20"/>
  <c r="I174" i="20"/>
  <c r="E139" i="13"/>
  <c r="G140" i="13"/>
  <c r="N34" i="33"/>
  <c r="G172" i="20" l="1"/>
  <c r="K173" i="20"/>
  <c r="J173" i="20"/>
  <c r="I173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1" i="20" l="1"/>
  <c r="K172" i="20"/>
  <c r="J172" i="20"/>
  <c r="I172" i="20"/>
  <c r="E137" i="13"/>
  <c r="G138" i="13"/>
  <c r="Q43" i="32"/>
  <c r="G170" i="20" l="1"/>
  <c r="J171" i="20"/>
  <c r="I171" i="20"/>
  <c r="K171" i="20"/>
  <c r="E136" i="13"/>
  <c r="G137" i="13"/>
  <c r="I42" i="32"/>
  <c r="K41" i="32"/>
  <c r="M41" i="32"/>
  <c r="M29" i="32"/>
  <c r="R29" i="32" s="1"/>
  <c r="K29" i="32"/>
  <c r="G169" i="20" l="1"/>
  <c r="I170" i="20"/>
  <c r="K170" i="20"/>
  <c r="J170" i="20"/>
  <c r="E135" i="13"/>
  <c r="G136" i="13"/>
  <c r="Q29" i="32"/>
  <c r="I169" i="20" l="1"/>
  <c r="J169" i="20"/>
  <c r="G168" i="20"/>
  <c r="K169" i="20"/>
  <c r="E134" i="13"/>
  <c r="G135" i="13"/>
  <c r="U29" i="32"/>
  <c r="U62" i="32"/>
  <c r="U63" i="32"/>
  <c r="U64" i="32"/>
  <c r="U65" i="32"/>
  <c r="U66" i="32"/>
  <c r="U67" i="32"/>
  <c r="U68" i="32"/>
  <c r="AC28" i="33"/>
  <c r="G167" i="20" l="1"/>
  <c r="J168" i="20"/>
  <c r="I168" i="20"/>
  <c r="K168" i="20"/>
  <c r="E133" i="13"/>
  <c r="G134" i="13"/>
  <c r="AE24" i="33"/>
  <c r="G166" i="20" l="1"/>
  <c r="I167" i="20"/>
  <c r="J167" i="20"/>
  <c r="K167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K166" i="20" l="1"/>
  <c r="I166" i="20"/>
  <c r="G165" i="20"/>
  <c r="J166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4" i="20" l="1"/>
  <c r="K165" i="20"/>
  <c r="J165" i="20"/>
  <c r="I165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3" i="20" l="1"/>
  <c r="I164" i="20"/>
  <c r="J164" i="20"/>
  <c r="K164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62" i="20" l="1"/>
  <c r="J163" i="20"/>
  <c r="K163" i="20"/>
  <c r="I163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61" i="20" l="1"/>
  <c r="K162" i="20"/>
  <c r="J162" i="20"/>
  <c r="I162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0" i="20" l="1"/>
  <c r="K161" i="20"/>
  <c r="I161" i="20"/>
  <c r="J161" i="20"/>
  <c r="E126" i="13"/>
  <c r="G127" i="13"/>
  <c r="H30" i="42"/>
  <c r="I2" i="42"/>
  <c r="I25" i="42" s="1"/>
  <c r="I30" i="42" s="1"/>
  <c r="D24" i="42"/>
  <c r="K28" i="32"/>
  <c r="K160" i="20" l="1"/>
  <c r="I160" i="20"/>
  <c r="G159" i="20"/>
  <c r="J160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59" i="20" l="1"/>
  <c r="K159" i="20"/>
  <c r="I159" i="20"/>
  <c r="G158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7" i="20" l="1"/>
  <c r="K158" i="20"/>
  <c r="I158" i="20"/>
  <c r="J158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6" i="20" l="1"/>
  <c r="I157" i="20"/>
  <c r="J157" i="20"/>
  <c r="K157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K156" i="20" l="1"/>
  <c r="G155" i="20"/>
  <c r="I156" i="20"/>
  <c r="J156" i="20"/>
  <c r="G102" i="13"/>
  <c r="G196" i="13"/>
  <c r="G199" i="13" s="1"/>
  <c r="G103" i="13"/>
  <c r="U14" i="32"/>
  <c r="L14" i="32" s="1"/>
  <c r="Q9" i="32"/>
  <c r="R9" i="32"/>
  <c r="Y5" i="33"/>
  <c r="G154" i="20" l="1"/>
  <c r="K155" i="20"/>
  <c r="I155" i="20"/>
  <c r="J155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54" i="20" l="1"/>
  <c r="G153" i="20"/>
  <c r="J154" i="20"/>
  <c r="K154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53" i="20" l="1"/>
  <c r="I153" i="20"/>
  <c r="G152" i="20"/>
  <c r="J153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1" i="20" l="1"/>
  <c r="I152" i="20"/>
  <c r="J152" i="20"/>
  <c r="K152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77" i="20" l="1"/>
  <c r="I119" i="20"/>
  <c r="K119" i="20"/>
  <c r="J116" i="20"/>
  <c r="E49" i="13"/>
  <c r="G50" i="13"/>
  <c r="I126" i="20"/>
  <c r="N17" i="18" l="1"/>
  <c r="N62" i="18" s="1"/>
  <c r="D2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2" i="18" s="1"/>
  <c r="L63" i="18" l="1"/>
  <c r="F22" i="18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7" i="20" s="1"/>
  <c r="J2" i="20"/>
  <c r="J277" i="20" s="1"/>
  <c r="I2" i="20"/>
  <c r="I277" i="20" s="1"/>
  <c r="F13" i="15"/>
  <c r="I280" i="20" l="1"/>
  <c r="J280" i="20"/>
  <c r="K280" i="20"/>
  <c r="F12" i="15"/>
  <c r="J284" i="20" l="1"/>
  <c r="K2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3" i="18" l="1"/>
  <c r="V103" i="18" s="1"/>
  <c r="U105" i="18"/>
  <c r="V105" i="18" s="1"/>
</calcChain>
</file>

<file path=xl/sharedStrings.xml><?xml version="1.0" encoding="utf-8"?>
<sst xmlns="http://schemas.openxmlformats.org/spreadsheetml/2006/main" count="9985" uniqueCount="4629">
  <si>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</si>
  <si>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</si>
  <si>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</si>
  <si>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</si>
  <si>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</si>
  <si>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</si>
  <si>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</si>
  <si>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</si>
  <si>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</si>
  <si>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</si>
  <si>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</si>
  <si>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</si>
  <si>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</si>
  <si>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</si>
  <si>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</si>
  <si>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</si>
  <si>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</si>
  <si>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</si>
  <si>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</si>
  <si>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</si>
  <si>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</si>
  <si>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</si>
  <si>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</si>
  <si>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</si>
  <si>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</si>
  <si>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</si>
  <si>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</si>
  <si>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</si>
  <si>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</si>
  <si>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</si>
  <si>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</si>
  <si>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</si>
  <si>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</si>
  <si>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</si>
  <si>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</si>
  <si>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</si>
  <si>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</si>
  <si>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</si>
  <si>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</si>
  <si>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</si>
  <si>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</si>
  <si>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</si>
  <si>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</si>
  <si>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</si>
  <si>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</si>
  <si>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</si>
  <si>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</si>
  <si>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</si>
  <si>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</si>
  <si>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</si>
  <si>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</si>
  <si>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</si>
  <si>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</si>
  <si>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</si>
  <si>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</si>
  <si>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</si>
  <si>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</si>
  <si>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</si>
  <si>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</si>
  <si>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</si>
  <si>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</si>
  <si>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</si>
  <si>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</si>
  <si>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</si>
  <si>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</si>
  <si>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</si>
  <si>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</si>
  <si>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</si>
  <si>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</si>
  <si>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</si>
  <si>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</si>
  <si>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</si>
  <si>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</si>
  <si>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</si>
  <si>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</si>
  <si>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</si>
  <si>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</si>
  <si>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</si>
  <si>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</si>
  <si>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</si>
  <si>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</si>
  <si>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</si>
  <si>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</si>
  <si>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</si>
  <si>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</si>
  <si>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</si>
  <si>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</si>
  <si>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</si>
  <si>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</si>
  <si>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</si>
  <si>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</si>
  <si>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</si>
  <si>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</si>
  <si>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</si>
  <si>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</si>
  <si>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</si>
  <si>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</si>
  <si>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</si>
  <si>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</si>
  <si>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</si>
  <si>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</si>
  <si>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</si>
  <si>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</si>
  <si>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</si>
  <si>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</si>
  <si>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</si>
  <si>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</si>
  <si>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</si>
  <si>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</si>
  <si>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</si>
  <si>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</si>
  <si>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</si>
  <si>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</si>
  <si>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</si>
  <si>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</si>
  <si>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</si>
  <si>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</si>
  <si>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</si>
  <si>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</si>
  <si>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</si>
  <si>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</si>
  <si>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</si>
  <si>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</si>
  <si>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</si>
  <si>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</si>
  <si>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</si>
  <si>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</si>
  <si>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</si>
  <si>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</si>
  <si>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</si>
  <si>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</si>
  <si>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</si>
  <si>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</si>
  <si>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</si>
  <si>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</si>
  <si>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</si>
  <si>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</si>
  <si>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</si>
  <si>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</si>
  <si>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</si>
  <si>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</si>
  <si>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</si>
  <si>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</si>
  <si>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</si>
  <si>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</si>
  <si>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</si>
  <si>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</si>
  <si>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</si>
  <si>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</si>
  <si>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</si>
  <si>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</si>
  <si>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</si>
  <si>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</si>
  <si>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</si>
  <si>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</si>
  <si>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</si>
  <si>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</si>
  <si>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</si>
  <si>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</si>
  <si>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</si>
  <si>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</si>
  <si>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</si>
  <si>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</si>
  <si>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</si>
  <si>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</si>
  <si>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</si>
  <si>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</si>
  <si>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</si>
  <si>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</si>
  <si>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</si>
  <si>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</si>
  <si>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</si>
  <si>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</si>
  <si>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</si>
  <si>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</si>
  <si>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</si>
  <si>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</si>
  <si>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</si>
  <si>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</si>
  <si>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</si>
  <si>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</si>
  <si>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</si>
  <si>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</si>
  <si>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</si>
  <si>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</si>
  <si>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</si>
  <si>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</si>
  <si>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</si>
  <si>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</si>
  <si>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</si>
  <si>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</si>
  <si>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</si>
  <si>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</si>
  <si>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</si>
  <si>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</si>
  <si>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</si>
  <si>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</si>
  <si>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</si>
  <si>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</si>
  <si>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</si>
  <si>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</si>
  <si>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</si>
  <si>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</si>
  <si>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</si>
  <si>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</si>
  <si>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</si>
  <si>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</si>
  <si>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</si>
  <si>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</si>
  <si>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</si>
  <si>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</si>
  <si>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</si>
  <si>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</si>
  <si>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</si>
  <si>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</si>
  <si>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</si>
  <si>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</si>
  <si>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</si>
  <si>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</si>
  <si>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</si>
  <si>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</si>
  <si>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</si>
  <si>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</si>
  <si>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</si>
  <si>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</si>
  <si>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</si>
  <si>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</si>
  <si>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</si>
  <si>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</si>
  <si>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</si>
  <si>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</si>
  <si>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</si>
  <si>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</si>
  <si>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</si>
  <si>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</si>
  <si>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</si>
  <si>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</si>
  <si>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</si>
  <si>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</si>
  <si>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</si>
  <si>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</si>
  <si>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</si>
  <si>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</si>
  <si>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</si>
  <si>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</si>
  <si>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</si>
  <si>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</si>
  <si>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</si>
  <si>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</si>
  <si>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</si>
  <si>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</si>
  <si>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</si>
  <si>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</si>
  <si>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</si>
  <si>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</si>
  <si>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</si>
  <si>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</si>
  <si>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</si>
  <si>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</si>
  <si>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</si>
  <si>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</si>
  <si>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</si>
  <si>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</si>
  <si>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</si>
  <si>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</si>
  <si>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</si>
  <si>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</si>
  <si>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</si>
  <si>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</si>
  <si>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</si>
  <si>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</si>
  <si>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</si>
  <si>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</si>
  <si>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</si>
  <si>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</si>
  <si>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</si>
  <si>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</si>
  <si>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</si>
  <si>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</si>
  <si>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</si>
  <si>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</si>
  <si>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</si>
  <si>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</si>
  <si>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</si>
  <si>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</si>
  <si>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</si>
  <si>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</si>
  <si>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</si>
  <si>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</si>
  <si>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</si>
  <si>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</si>
  <si>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</si>
  <si>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</si>
  <si>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</si>
  <si>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</si>
  <si>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</si>
  <si>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</si>
  <si>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</si>
  <si>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</si>
  <si>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</si>
  <si>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</si>
  <si>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</si>
  <si>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</si>
  <si>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</si>
  <si>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</si>
  <si>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</si>
  <si>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</si>
  <si>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</si>
  <si>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</si>
  <si>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</si>
  <si>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</si>
  <si>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</si>
  <si>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</si>
  <si>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</si>
  <si>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</si>
  <si>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</si>
  <si>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</si>
  <si>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</si>
  <si>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</si>
  <si>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</si>
  <si>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</si>
  <si>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</si>
  <si>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</si>
  <si>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</si>
  <si>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</si>
  <si>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</si>
  <si>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</si>
  <si>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</si>
  <si>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</si>
  <si>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</si>
  <si>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</si>
  <si>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</si>
  <si>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</si>
  <si>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</si>
  <si>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</si>
  <si>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</si>
  <si>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</si>
  <si>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</si>
  <si>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</si>
  <si>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</si>
  <si>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</si>
  <si>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</si>
  <si>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</si>
  <si>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</si>
  <si>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</si>
  <si>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</si>
  <si>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</si>
  <si>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</si>
  <si>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</si>
  <si>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</si>
  <si>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</si>
  <si>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</si>
  <si>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</si>
  <si>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</si>
  <si>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</si>
  <si>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</si>
  <si>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</si>
  <si>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</si>
  <si>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</si>
  <si>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</si>
  <si>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</si>
  <si>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</si>
  <si>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</si>
  <si>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</si>
  <si>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</si>
  <si>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</si>
  <si>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</si>
  <si>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</si>
  <si>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</si>
  <si>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</si>
  <si>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</si>
  <si>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</si>
  <si>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</si>
  <si>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</si>
  <si>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</si>
  <si>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</si>
  <si>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</si>
  <si>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</si>
  <si>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</si>
  <si>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</si>
  <si>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</si>
  <si>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</si>
  <si>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</si>
  <si>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</si>
  <si>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</si>
  <si>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</si>
  <si>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</si>
  <si>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</si>
  <si>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</si>
  <si>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</si>
  <si>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</si>
  <si>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</si>
  <si>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</si>
  <si>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</si>
  <si>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</si>
  <si>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</si>
  <si>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</si>
  <si>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</si>
  <si>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</si>
  <si>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</si>
  <si>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</si>
  <si>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</si>
  <si>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</si>
  <si>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</si>
  <si>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</si>
  <si>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</si>
  <si>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</si>
  <si>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</si>
  <si>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</si>
  <si>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</si>
  <si>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</si>
  <si>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</si>
  <si>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</si>
  <si>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</si>
  <si>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</si>
  <si>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</si>
  <si>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</si>
  <si>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</si>
  <si>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</si>
  <si>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</si>
  <si>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</si>
  <si>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</si>
  <si>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</si>
  <si>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</si>
  <si>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</si>
  <si>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</si>
  <si>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</si>
  <si>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</si>
  <si>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</si>
  <si>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</si>
  <si>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</si>
  <si>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</si>
  <si>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</si>
  <si>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</si>
  <si>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</si>
  <si>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</si>
  <si>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</si>
  <si>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</si>
  <si>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</si>
  <si>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</si>
  <si>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</si>
  <si>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</si>
  <si>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</si>
  <si>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</si>
  <si>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</si>
  <si>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</si>
  <si>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</si>
  <si>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</si>
  <si>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</si>
  <si>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</si>
  <si>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</si>
  <si>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</si>
  <si>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</si>
  <si>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</si>
  <si>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</si>
  <si>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</si>
  <si>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</si>
  <si>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</si>
  <si>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</si>
  <si>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</si>
  <si>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</si>
  <si>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</si>
  <si>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</si>
  <si>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</si>
  <si>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</si>
  <si>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</si>
  <si>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</si>
  <si>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</si>
  <si>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</si>
  <si>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</si>
  <si>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</si>
  <si>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</si>
  <si>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</si>
  <si>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</si>
  <si>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</si>
  <si>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</si>
  <si>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</si>
  <si>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</si>
  <si>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</si>
  <si>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</si>
  <si>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</si>
  <si>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</si>
  <si>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</si>
  <si>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</si>
  <si>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</si>
  <si>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</si>
  <si>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</si>
  <si>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</si>
  <si>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</si>
  <si>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</si>
  <si>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</si>
  <si>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</si>
  <si>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</si>
  <si>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</si>
  <si>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</si>
  <si>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</si>
  <si>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</si>
  <si>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</si>
  <si>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</si>
  <si>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</si>
  <si>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</si>
  <si>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</si>
  <si>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</si>
  <si>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</si>
  <si>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</si>
  <si>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</si>
  <si>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</si>
  <si>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</si>
  <si>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</si>
  <si>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</si>
  <si>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</si>
  <si>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</si>
  <si>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</si>
  <si>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</si>
  <si>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</si>
  <si>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</si>
  <si>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</si>
  <si>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</si>
  <si>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</si>
  <si>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</si>
  <si>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</si>
  <si>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</si>
  <si>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</si>
  <si>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</si>
  <si>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</si>
  <si>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</si>
  <si>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</si>
  <si>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</si>
  <si>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</si>
  <si>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</si>
  <si>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</si>
  <si>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</si>
  <si>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</si>
  <si>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</si>
  <si>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</si>
  <si>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</si>
  <si>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</si>
  <si>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</si>
  <si>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</si>
  <si>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</si>
  <si>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</si>
  <si>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</si>
  <si>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</si>
  <si>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</si>
  <si>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</si>
  <si>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</si>
  <si>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</si>
  <si>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</si>
  <si>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</si>
  <si>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</si>
  <si>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</si>
  <si>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</si>
  <si>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</si>
  <si>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</si>
  <si>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</si>
  <si>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</si>
  <si>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</si>
  <si>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</si>
  <si>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</si>
  <si>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</si>
  <si>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</si>
  <si>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</si>
  <si>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</si>
  <si>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</si>
  <si>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</si>
  <si>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</si>
  <si>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</si>
  <si>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</si>
  <si>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</si>
  <si>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</si>
  <si>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</si>
  <si>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</si>
  <si>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</si>
  <si>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</si>
  <si>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</si>
  <si>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</si>
  <si>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</si>
  <si>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</si>
  <si>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</si>
  <si>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</si>
  <si>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</si>
  <si>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</si>
  <si>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</si>
  <si>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</si>
  <si>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</si>
  <si>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</si>
  <si>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</si>
  <si>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</si>
  <si>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</si>
  <si>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</si>
  <si>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</si>
  <si>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</si>
  <si>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</si>
  <si>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</si>
  <si>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</si>
  <si>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</si>
  <si>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</si>
  <si>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</si>
  <si>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</si>
  <si>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</si>
  <si>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</si>
  <si>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</si>
  <si>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</si>
  <si>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</si>
  <si>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</si>
  <si>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</si>
  <si>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</si>
  <si>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</si>
  <si>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</si>
  <si>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</si>
  <si>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</si>
  <si>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</si>
  <si>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</si>
  <si>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</si>
  <si>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</si>
  <si>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</si>
  <si>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</si>
  <si>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</si>
  <si>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</si>
  <si>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</si>
  <si>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</si>
  <si>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</si>
  <si>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</si>
  <si>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</si>
  <si>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</si>
  <si>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</si>
  <si>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</si>
  <si>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</si>
  <si>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</si>
  <si>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</si>
  <si>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</si>
  <si>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</si>
  <si>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</si>
  <si>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</si>
  <si>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</si>
  <si>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</si>
  <si>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</si>
  <si>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</si>
  <si>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</si>
  <si>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</si>
  <si>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</si>
  <si>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</si>
  <si>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</si>
  <si>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</si>
  <si>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</si>
  <si>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</si>
  <si>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</si>
  <si>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</si>
  <si>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</si>
  <si>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</si>
  <si>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</si>
  <si>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</si>
  <si>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</si>
  <si>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</si>
  <si>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</si>
  <si>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</si>
  <si>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</si>
  <si>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</si>
  <si>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</si>
  <si>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</si>
  <si>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</si>
  <si>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</si>
  <si>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</si>
  <si>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</si>
  <si>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</si>
  <si>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</si>
  <si>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</si>
  <si>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</si>
  <si>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</si>
  <si>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</si>
  <si>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</si>
  <si>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</si>
  <si>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</si>
  <si>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</si>
  <si>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</si>
  <si>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</si>
  <si>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</si>
  <si>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</si>
  <si>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</si>
  <si>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</si>
  <si>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</si>
  <si>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</si>
  <si>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</si>
  <si>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</si>
  <si>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</si>
  <si>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</si>
  <si>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</si>
  <si>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</si>
  <si>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</si>
  <si>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</si>
  <si>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</si>
  <si>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</si>
  <si>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</si>
  <si>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</si>
  <si>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</si>
  <si>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</si>
  <si>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</si>
  <si>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</si>
  <si>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</si>
  <si>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</si>
  <si>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</si>
  <si>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</si>
  <si>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</si>
  <si>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</si>
  <si>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</si>
  <si>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</si>
  <si>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</si>
  <si>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</si>
  <si>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</si>
  <si>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</si>
  <si>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</si>
  <si>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</si>
  <si>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</si>
  <si>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</si>
  <si>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</si>
  <si>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</si>
  <si>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</si>
  <si>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</si>
  <si>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</si>
  <si>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</si>
  <si>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</si>
  <si>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</si>
  <si>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</si>
  <si>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</si>
  <si>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</si>
  <si>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</si>
  <si>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</si>
  <si>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</si>
  <si>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</si>
  <si>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</si>
  <si>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</si>
  <si>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</si>
  <si>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</si>
  <si>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</si>
  <si>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</si>
  <si>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</si>
  <si>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</si>
  <si>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</si>
  <si>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</si>
  <si>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</si>
  <si>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</si>
  <si>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</si>
  <si>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</si>
  <si>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</si>
  <si>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</si>
  <si>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</si>
  <si>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</si>
  <si>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</si>
  <si>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</si>
  <si>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</si>
  <si>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</si>
  <si>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</si>
  <si>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</si>
  <si>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</si>
  <si>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</si>
  <si>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</si>
  <si>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</si>
  <si>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</si>
  <si>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</si>
  <si>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</si>
  <si>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</si>
  <si>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</si>
  <si>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</si>
  <si>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</si>
  <si>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</si>
  <si>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</si>
  <si>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</si>
  <si>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</si>
  <si>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</si>
  <si>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</si>
  <si>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</si>
  <si>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</si>
  <si>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</si>
  <si>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</si>
  <si>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</si>
  <si>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</si>
  <si>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</si>
  <si>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</si>
  <si>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</si>
  <si>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</si>
  <si>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</si>
  <si>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</si>
  <si>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</si>
  <si>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</si>
  <si>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</si>
  <si>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</si>
  <si>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</si>
  <si>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</si>
  <si>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</si>
  <si>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</si>
  <si>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</si>
  <si>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</si>
  <si>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</si>
  <si>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</si>
  <si>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</si>
  <si>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</si>
  <si>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</si>
  <si>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</si>
  <si>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</si>
  <si>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</si>
  <si>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</si>
  <si>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</si>
  <si>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</si>
  <si>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</si>
  <si>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</si>
  <si>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</si>
  <si>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</si>
  <si>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</si>
  <si>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</si>
  <si>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</si>
  <si>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</si>
  <si>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</si>
  <si>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</si>
  <si>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</si>
  <si>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</si>
  <si>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</si>
  <si>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</si>
  <si>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</si>
  <si>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</si>
  <si>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</si>
  <si>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</si>
  <si>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</si>
  <si>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</si>
  <si>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</si>
  <si>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</si>
  <si>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</si>
  <si>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</si>
  <si>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</si>
  <si>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</si>
  <si>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</si>
  <si>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</si>
  <si>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</si>
  <si>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</si>
  <si>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</si>
  <si>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</si>
  <si>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</si>
  <si>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</si>
  <si>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</si>
  <si>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</si>
  <si>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</si>
  <si>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</si>
  <si>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</si>
  <si>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</si>
  <si>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</si>
  <si>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</si>
  <si>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</si>
  <si>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</si>
  <si>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</si>
  <si>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</si>
  <si>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</si>
  <si>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</si>
  <si>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</si>
  <si>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</si>
  <si>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</si>
  <si>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</si>
  <si>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</si>
  <si>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</si>
  <si>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</si>
  <si>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</si>
  <si>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</si>
  <si>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</si>
  <si>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</si>
  <si>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</si>
  <si>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</si>
  <si>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</si>
  <si>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</si>
  <si>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</si>
  <si>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</si>
  <si>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</si>
  <si>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</si>
  <si>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</si>
  <si>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</si>
  <si>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</si>
  <si>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</si>
  <si>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</si>
  <si>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</si>
  <si>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</si>
  <si>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</si>
  <si>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</si>
  <si>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</si>
  <si>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</si>
  <si>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</si>
  <si>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</si>
  <si>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</si>
  <si>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</si>
  <si>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</si>
  <si>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</si>
  <si>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</si>
  <si>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</si>
  <si>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</si>
  <si>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</si>
  <si>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</si>
  <si>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</si>
  <si>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</si>
  <si>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</si>
  <si>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</si>
  <si>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</si>
  <si>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</si>
  <si>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</si>
  <si>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</si>
  <si>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</si>
  <si>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</si>
  <si>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</si>
  <si>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</si>
  <si>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</si>
  <si>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</si>
  <si>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</si>
  <si>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</si>
  <si>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</si>
  <si>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</si>
  <si>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</si>
  <si>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</si>
  <si>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</si>
  <si>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</si>
  <si>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</si>
  <si>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</si>
  <si>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</si>
  <si>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</si>
  <si>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</si>
  <si>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</si>
  <si>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</si>
  <si>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</si>
  <si>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</si>
  <si>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</si>
  <si>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</si>
  <si>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</si>
  <si>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</si>
  <si>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</si>
  <si>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</si>
  <si>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</si>
  <si>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</si>
  <si>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</si>
  <si>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</si>
  <si>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</si>
  <si>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</si>
  <si>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</si>
  <si>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</si>
  <si>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</si>
  <si>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</si>
  <si>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</si>
  <si>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</si>
  <si>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</si>
  <si>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</si>
  <si>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</si>
  <si>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</si>
  <si>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</si>
  <si>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</si>
  <si>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</si>
  <si>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</si>
  <si>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</si>
  <si>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</si>
  <si>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</si>
  <si>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</si>
  <si>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</si>
  <si>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</si>
  <si>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</si>
  <si>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</si>
  <si>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</si>
  <si>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</si>
  <si>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</si>
  <si>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</si>
  <si>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</si>
  <si>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</si>
  <si>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</si>
  <si>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</si>
  <si>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</si>
  <si>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</si>
  <si>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</si>
  <si>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</si>
  <si>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</si>
  <si>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</si>
  <si>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</si>
  <si>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</si>
  <si>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</si>
  <si>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</si>
  <si>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</si>
  <si>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</si>
  <si>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</si>
  <si>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</si>
  <si>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</si>
  <si>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</si>
  <si>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</si>
  <si>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</si>
  <si>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</si>
  <si>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</si>
  <si>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</si>
  <si>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</si>
  <si>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</si>
  <si>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</si>
  <si>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</si>
  <si>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</si>
  <si>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</si>
  <si>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</si>
  <si>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</si>
  <si>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</si>
  <si>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</si>
  <si>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</si>
  <si>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</si>
  <si>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</si>
  <si>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</si>
  <si>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</si>
  <si>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</si>
  <si>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</si>
  <si>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</si>
  <si>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</si>
  <si>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</si>
  <si>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</si>
  <si>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</si>
  <si>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</si>
  <si>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</si>
  <si>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</si>
  <si>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</si>
  <si>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</si>
  <si>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</si>
  <si>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</si>
  <si>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</si>
  <si>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</si>
  <si>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</si>
  <si>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</si>
  <si>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</si>
  <si>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</si>
  <si>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</si>
  <si>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</si>
  <si>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</si>
  <si>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</si>
  <si>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</si>
  <si>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</si>
  <si>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</si>
  <si>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</si>
  <si>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</si>
  <si>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</si>
  <si>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</si>
  <si>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</si>
  <si>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</si>
  <si>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</si>
  <si>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</si>
  <si>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</si>
  <si>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</si>
  <si>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</si>
  <si>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</si>
  <si>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</si>
  <si>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</si>
  <si>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</si>
  <si>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</si>
  <si>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</si>
  <si>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</si>
  <si>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</si>
  <si>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</si>
  <si>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</si>
  <si>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</si>
  <si>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</si>
  <si>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</si>
  <si>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</si>
  <si>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</si>
  <si>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</si>
  <si>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</si>
  <si>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</si>
  <si>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</si>
  <si>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</si>
  <si>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</si>
  <si>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</si>
  <si>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</si>
  <si>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</si>
  <si>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</si>
  <si>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</si>
  <si>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</si>
  <si>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</si>
  <si>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</si>
  <si>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</si>
  <si>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</si>
  <si>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</si>
  <si>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</si>
  <si>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</si>
  <si>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</si>
  <si>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</si>
  <si>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</si>
  <si>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</si>
  <si>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</si>
  <si>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</si>
  <si>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</si>
  <si>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</si>
  <si>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</si>
  <si>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</si>
  <si>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</si>
  <si>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</si>
  <si>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</si>
  <si>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</si>
  <si>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</si>
  <si>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</si>
  <si>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</si>
  <si>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</si>
  <si>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</si>
  <si>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</si>
  <si>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</si>
  <si>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</si>
  <si>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</si>
  <si>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</si>
  <si>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</si>
  <si>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</si>
  <si>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</si>
  <si>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</si>
  <si>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</si>
  <si>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</si>
  <si>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</si>
  <si>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</si>
  <si>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</si>
  <si>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</si>
  <si>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</si>
  <si>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</si>
  <si>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</si>
  <si>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</si>
  <si>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</si>
  <si>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</si>
  <si>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</si>
  <si>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</si>
  <si>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</si>
  <si>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</si>
  <si>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</si>
  <si>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</si>
  <si>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</si>
  <si>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</si>
  <si>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</si>
  <si>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</si>
  <si>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</si>
  <si>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</si>
  <si>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</si>
  <si>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</si>
  <si>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</si>
  <si>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</si>
  <si>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</si>
  <si>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</si>
  <si>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</si>
  <si>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</si>
  <si>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</si>
  <si>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</si>
  <si>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</si>
  <si>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</si>
  <si>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</si>
  <si>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</si>
  <si>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</si>
  <si>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</si>
  <si>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</si>
  <si>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</si>
  <si>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</si>
  <si>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</si>
  <si>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</si>
  <si>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</si>
  <si>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</si>
  <si>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</si>
  <si>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</si>
  <si>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</si>
  <si>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</si>
  <si>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</si>
  <si>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</si>
  <si>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</si>
  <si>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</si>
  <si>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</si>
  <si>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</si>
  <si>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</si>
  <si>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</si>
  <si>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</si>
  <si>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</si>
  <si>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</si>
  <si>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</si>
  <si>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</si>
  <si>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</si>
  <si>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</si>
  <si>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</si>
  <si>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</si>
  <si>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</si>
  <si>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</si>
  <si>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</si>
  <si>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</si>
  <si>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</si>
  <si>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</si>
  <si>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</si>
  <si>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</si>
  <si>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</si>
  <si>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</si>
  <si>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</si>
  <si>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</si>
  <si>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</si>
  <si>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</si>
  <si>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</si>
  <si>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</si>
  <si>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</si>
  <si>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</si>
  <si>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</si>
  <si>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</si>
  <si>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</si>
  <si>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</si>
  <si>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</si>
  <si>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</si>
  <si>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</si>
  <si>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</si>
  <si>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</si>
  <si>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</si>
  <si>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</si>
  <si>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</si>
  <si>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</si>
  <si>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</si>
  <si>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</si>
  <si>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</si>
  <si>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</si>
  <si>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</si>
  <si>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</si>
  <si>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</si>
  <si>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</si>
  <si>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</si>
  <si>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</si>
  <si>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</si>
  <si>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</si>
  <si>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</si>
  <si>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</si>
  <si>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</si>
  <si>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</si>
  <si>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</si>
  <si>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</si>
  <si>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</si>
  <si>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</si>
  <si>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</si>
  <si>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</si>
  <si>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</si>
  <si>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</si>
  <si>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</si>
  <si>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</si>
  <si>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</si>
  <si>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</si>
  <si>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</si>
  <si>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</si>
  <si>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</si>
  <si>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</si>
  <si>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</si>
  <si>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</si>
  <si>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</si>
  <si>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</si>
  <si>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</si>
  <si>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</si>
  <si>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</si>
  <si>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</si>
  <si>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</si>
  <si>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</si>
  <si>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</si>
  <si>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</si>
  <si>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</si>
  <si>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</si>
  <si>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</si>
  <si>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</si>
  <si>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</si>
  <si>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</si>
  <si>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</si>
  <si>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</si>
  <si>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</si>
  <si>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</si>
  <si>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</si>
  <si>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</si>
  <si>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</si>
  <si>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</si>
  <si>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</si>
  <si>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</si>
  <si>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</si>
  <si>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</si>
  <si>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</si>
  <si>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</si>
  <si>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</si>
  <si>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</si>
  <si>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</si>
  <si>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</si>
  <si>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</si>
  <si>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</si>
  <si>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</si>
  <si>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</si>
  <si>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</si>
  <si>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</si>
  <si>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</si>
  <si>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</si>
  <si>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</si>
  <si>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</si>
  <si>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</si>
  <si>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</si>
  <si>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</si>
  <si>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</si>
  <si>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</si>
  <si>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</si>
  <si>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</si>
  <si>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</si>
  <si>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</si>
  <si>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</si>
  <si>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</si>
  <si>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</si>
  <si>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</si>
  <si>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</si>
  <si>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</si>
  <si>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</si>
  <si>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</si>
  <si>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</si>
  <si>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</si>
  <si>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</si>
  <si>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</si>
  <si>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</si>
  <si>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</si>
  <si>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</si>
  <si>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</si>
  <si>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</si>
  <si>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</si>
  <si>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</si>
  <si>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</si>
  <si>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</si>
  <si>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</si>
  <si>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</si>
  <si>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</si>
  <si>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</si>
  <si>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</si>
  <si>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</si>
  <si>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</si>
  <si>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</si>
  <si>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</si>
  <si>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</si>
  <si>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</si>
  <si>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</si>
  <si>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</si>
  <si>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</si>
  <si>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</si>
  <si>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</si>
  <si>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</si>
  <si>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</si>
  <si>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</si>
  <si>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</si>
  <si>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</si>
  <si>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</si>
  <si>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</si>
  <si>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</si>
  <si>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</si>
  <si>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</si>
  <si>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</si>
  <si>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</si>
  <si>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</si>
  <si>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</si>
  <si>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</si>
  <si>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</si>
  <si>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</si>
  <si>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</si>
  <si>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</si>
  <si>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</si>
  <si>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</si>
  <si>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</si>
  <si>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</si>
  <si>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</si>
  <si>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</si>
  <si>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</si>
  <si>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</si>
  <si>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</si>
  <si>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</si>
  <si>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</si>
  <si>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</si>
  <si>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</si>
  <si>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</si>
  <si>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</si>
  <si>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</si>
  <si>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</si>
  <si>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</si>
  <si>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</si>
  <si>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</si>
  <si>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</si>
  <si>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</si>
  <si>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</si>
  <si>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</si>
  <si>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</si>
  <si>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</si>
  <si>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</si>
  <si>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</si>
  <si>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</si>
  <si>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</si>
  <si>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</si>
  <si>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</si>
  <si>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</si>
  <si>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</si>
  <si>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</si>
  <si>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</si>
  <si>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</si>
  <si>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</si>
  <si>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</si>
  <si>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</si>
  <si>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</si>
  <si>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</si>
  <si>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</si>
  <si>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</si>
  <si>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</si>
  <si>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</si>
  <si>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</si>
  <si>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</si>
  <si>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</si>
  <si>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</si>
  <si>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</si>
  <si>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</si>
  <si>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</si>
  <si>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</si>
  <si>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</si>
  <si>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</si>
  <si>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</si>
  <si>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</si>
  <si>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</si>
  <si>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</si>
  <si>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</si>
  <si>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</si>
  <si>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</si>
  <si>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</si>
  <si>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</si>
  <si>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</si>
  <si>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</si>
  <si>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</si>
  <si>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</si>
  <si>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</si>
  <si>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</si>
  <si>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</si>
  <si>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</si>
  <si>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</si>
  <si>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</si>
  <si>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</si>
  <si>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</si>
  <si>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</si>
  <si>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</si>
  <si>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</si>
  <si>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</si>
  <si>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</si>
  <si>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</si>
  <si>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</si>
  <si>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</si>
  <si>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</si>
  <si>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</si>
  <si>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</si>
  <si>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</si>
  <si>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</si>
  <si>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</si>
  <si>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</si>
  <si>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</si>
  <si>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</si>
  <si>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</si>
  <si>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</si>
  <si>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</si>
  <si>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</si>
  <si>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</si>
  <si>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</si>
  <si>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</si>
  <si>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</si>
  <si>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</si>
  <si>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</si>
  <si>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</si>
  <si>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</si>
  <si>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</si>
  <si>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</si>
  <si>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</si>
  <si>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</si>
  <si>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</si>
  <si>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</si>
  <si>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</si>
  <si>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</si>
  <si>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</si>
  <si>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</si>
  <si>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</si>
  <si>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</si>
  <si>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</si>
  <si>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</si>
  <si>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</si>
  <si>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</si>
  <si>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</si>
  <si>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</si>
  <si>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</si>
  <si>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</si>
  <si>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</si>
  <si>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</si>
  <si>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</si>
  <si>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</si>
  <si>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</si>
  <si>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</si>
  <si>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</si>
  <si>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</si>
  <si>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</si>
  <si>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</si>
  <si>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</si>
  <si>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</si>
  <si>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</si>
  <si>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</si>
  <si>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</si>
  <si>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</si>
  <si>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</si>
  <si>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</si>
  <si>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</si>
  <si>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</si>
  <si>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</si>
  <si>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</si>
  <si>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</si>
  <si>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</si>
  <si>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</si>
  <si>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</si>
  <si>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</si>
  <si>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</si>
  <si>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</si>
  <si>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</si>
  <si>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</si>
  <si>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</si>
  <si>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</si>
  <si>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</si>
  <si>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</si>
  <si>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</si>
  <si>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</si>
  <si>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</si>
  <si>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</si>
  <si>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</si>
  <si>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</si>
  <si>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</si>
  <si>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</si>
  <si>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</si>
  <si>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</si>
  <si>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</si>
  <si>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</si>
  <si>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</si>
  <si>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</si>
  <si>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</si>
  <si>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</si>
  <si>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</si>
  <si>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</si>
  <si>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</si>
  <si>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</si>
  <si>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</si>
  <si>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</si>
  <si>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</si>
  <si>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</si>
  <si>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</si>
  <si>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</si>
  <si>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</si>
  <si>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</si>
  <si>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</si>
  <si>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</si>
  <si>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</si>
  <si>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</si>
  <si>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</si>
  <si>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</si>
  <si>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</si>
  <si>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</si>
  <si>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</si>
  <si>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</si>
  <si>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</si>
  <si>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</si>
  <si>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</si>
  <si>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</si>
  <si>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</si>
  <si>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</si>
  <si>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</si>
  <si>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</si>
  <si>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</si>
  <si>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</si>
  <si>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</si>
  <si>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</si>
  <si>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</si>
  <si>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</si>
  <si>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</si>
  <si>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</si>
  <si>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</si>
  <si>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</si>
  <si>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</si>
  <si>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</si>
  <si>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</si>
  <si>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</si>
  <si>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</si>
  <si>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</si>
  <si>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</si>
  <si>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</si>
  <si>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</si>
  <si>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</si>
  <si>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</si>
  <si>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</si>
  <si>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</si>
  <si>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</si>
  <si>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</si>
  <si>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</si>
  <si>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</si>
  <si>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</si>
  <si>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</si>
  <si>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</si>
  <si>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</si>
  <si>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</si>
  <si>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</si>
  <si>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</si>
  <si>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</si>
  <si>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</si>
  <si>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</si>
  <si>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</si>
  <si>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</si>
  <si>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</si>
  <si>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</si>
  <si>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</si>
  <si>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</si>
  <si>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</si>
  <si>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</si>
  <si>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</si>
  <si>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</si>
  <si>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</si>
  <si>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</si>
  <si>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</si>
  <si>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</si>
  <si>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</si>
  <si>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</si>
  <si>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</si>
  <si>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</si>
  <si>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</si>
  <si>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</si>
  <si>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</si>
  <si>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</si>
  <si>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</si>
  <si>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</si>
  <si>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</si>
  <si>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</si>
  <si>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</si>
  <si>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</si>
  <si>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</si>
  <si>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</si>
  <si>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</si>
  <si>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</si>
  <si>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</si>
  <si>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</si>
  <si>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</si>
  <si>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</si>
  <si>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</si>
  <si>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</si>
  <si>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</si>
  <si>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</si>
  <si>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</si>
  <si>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</si>
  <si>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</si>
  <si>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</si>
  <si>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</si>
  <si>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</si>
  <si>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</si>
  <si>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</si>
  <si>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</si>
  <si>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</si>
  <si>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</si>
  <si>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</si>
  <si>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</si>
  <si>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</si>
  <si>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</si>
  <si>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</si>
  <si>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</si>
  <si>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</si>
  <si>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</si>
  <si>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</si>
  <si>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</si>
  <si>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</si>
  <si>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</si>
  <si>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</si>
  <si>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</si>
  <si>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</si>
  <si>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</si>
  <si>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</si>
  <si>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</si>
  <si>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</si>
  <si>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</si>
  <si>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</si>
  <si>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</si>
  <si>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</si>
  <si>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</si>
  <si>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</si>
  <si>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</si>
  <si>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</si>
  <si>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</si>
  <si>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</si>
  <si>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</si>
  <si>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</si>
  <si>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</si>
  <si>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</si>
  <si>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</si>
  <si>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</si>
  <si>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</si>
  <si>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</si>
  <si>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</si>
  <si>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</si>
  <si>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</si>
  <si>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</si>
  <si>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</si>
  <si>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</si>
  <si>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</si>
  <si>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</si>
  <si>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</si>
  <si>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</si>
  <si>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</si>
  <si>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</si>
  <si>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</si>
  <si>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</si>
  <si>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</si>
  <si>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</si>
  <si>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</si>
  <si>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</si>
  <si>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</si>
  <si>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</si>
  <si>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</si>
  <si>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</si>
  <si>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</si>
  <si>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</si>
  <si>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</si>
  <si>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</si>
  <si>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</si>
  <si>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</si>
  <si>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</si>
  <si>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</si>
  <si>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</si>
  <si>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</si>
  <si>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</si>
  <si>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</si>
  <si>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</si>
  <si>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</si>
  <si>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</si>
  <si>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</si>
  <si>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</si>
  <si>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</si>
  <si>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</si>
  <si>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</si>
  <si>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</si>
  <si>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</si>
  <si>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</si>
  <si>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</si>
  <si>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</si>
  <si>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</si>
  <si>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</si>
  <si>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</si>
  <si>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</si>
  <si>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</si>
  <si>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</si>
  <si>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</si>
  <si>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</si>
  <si>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</si>
  <si>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</si>
  <si>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</si>
  <si>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</si>
  <si>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</si>
  <si>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</si>
  <si>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</si>
  <si>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</si>
  <si>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</si>
  <si>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</si>
  <si>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</si>
  <si>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</si>
  <si>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</si>
  <si>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</si>
  <si>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</si>
  <si>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</si>
  <si>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</si>
  <si>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</si>
  <si>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</si>
  <si>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</si>
  <si>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</si>
  <si>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</si>
  <si>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</si>
  <si>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</si>
  <si>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</si>
  <si>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</si>
  <si>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</si>
  <si>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</si>
  <si>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</si>
  <si>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</si>
  <si>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</si>
  <si>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</si>
  <si>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</si>
  <si>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</si>
  <si>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</si>
  <si>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</si>
  <si>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</si>
  <si>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</si>
  <si>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</si>
  <si>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</si>
  <si>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</si>
  <si>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</si>
  <si>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</si>
  <si>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</si>
  <si>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</si>
  <si>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</si>
  <si>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</si>
  <si>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</si>
  <si>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</si>
  <si>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</si>
  <si>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</si>
  <si>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</si>
  <si>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</si>
  <si>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</si>
  <si>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</si>
  <si>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</si>
  <si>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</si>
  <si>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</si>
  <si>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</si>
  <si>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</si>
  <si>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</si>
  <si>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</si>
  <si>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</si>
  <si>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</si>
  <si>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</si>
  <si>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</si>
  <si>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</si>
  <si>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</si>
  <si>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</si>
  <si>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</si>
  <si>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</si>
  <si>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</si>
  <si>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</si>
  <si>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</si>
  <si>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</si>
  <si>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</si>
  <si>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</si>
  <si>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</si>
  <si>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</si>
  <si>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</si>
  <si>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</si>
  <si>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</si>
  <si>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</si>
  <si>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</si>
  <si>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</si>
  <si>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</si>
  <si>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</si>
  <si>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</si>
  <si>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</si>
  <si>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</si>
  <si>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</si>
  <si>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</si>
  <si>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</si>
  <si>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</si>
  <si>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</si>
  <si>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</si>
  <si>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</si>
  <si>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</si>
  <si>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</si>
  <si>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</si>
  <si>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</si>
  <si>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</si>
  <si>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</si>
  <si>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</si>
  <si>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</si>
  <si>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</si>
  <si>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</si>
  <si>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</si>
  <si>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</si>
  <si>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</si>
  <si>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</si>
  <si>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</si>
  <si>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</si>
  <si>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</si>
  <si>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</si>
  <si>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</si>
  <si>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</si>
  <si>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</si>
  <si>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</si>
  <si>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</si>
  <si>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</si>
  <si>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</si>
  <si>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</si>
  <si>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</si>
  <si>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</si>
  <si>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</si>
  <si>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</si>
  <si>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</si>
  <si>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</si>
  <si>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</si>
  <si>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</si>
  <si>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</si>
  <si>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</si>
  <si>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</si>
  <si>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</si>
  <si>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</si>
  <si>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</si>
  <si>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</si>
  <si>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</si>
  <si>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</si>
  <si>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</si>
  <si>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</si>
  <si>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</si>
  <si>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</si>
  <si>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</si>
  <si>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</si>
  <si>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</si>
  <si>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</si>
  <si>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</si>
  <si>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</si>
  <si>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</si>
  <si>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</si>
  <si>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</si>
  <si>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</si>
  <si>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</si>
  <si>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</si>
  <si>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</si>
  <si>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</si>
  <si>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</si>
  <si>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</si>
  <si>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</si>
  <si>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</si>
  <si>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</si>
  <si>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</si>
  <si>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</si>
  <si>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</si>
  <si>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</si>
  <si>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</si>
  <si>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</si>
  <si>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</si>
  <si>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</si>
  <si>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</si>
  <si>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</si>
  <si>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</si>
  <si>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</si>
  <si>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</si>
  <si>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</si>
  <si>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</si>
  <si>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</si>
  <si>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</si>
  <si>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</si>
  <si>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</si>
  <si>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</si>
  <si>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</si>
  <si>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</si>
  <si>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</si>
  <si>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</si>
  <si>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</si>
  <si>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</si>
  <si>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</si>
  <si>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</si>
  <si>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</si>
  <si>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</si>
  <si>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</si>
  <si>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</si>
  <si>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</si>
  <si>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</si>
  <si>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</si>
  <si>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</si>
  <si>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</si>
  <si>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</si>
  <si>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</si>
  <si>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</si>
  <si>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</si>
  <si>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</si>
  <si>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</si>
  <si>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</si>
  <si>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</si>
  <si>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</si>
  <si>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</si>
  <si>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</si>
  <si>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</si>
  <si>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</si>
  <si>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</si>
  <si>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</si>
  <si>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</si>
  <si>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</si>
  <si>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</si>
  <si>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</si>
  <si>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</si>
  <si>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</si>
  <si>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</si>
  <si>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</si>
  <si>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</si>
  <si>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</si>
  <si>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</si>
  <si>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</si>
  <si>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</si>
  <si>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</si>
  <si>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</si>
  <si>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</si>
  <si>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</si>
  <si>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</si>
  <si>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</si>
  <si>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</si>
  <si>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</si>
  <si>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</si>
  <si>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</si>
  <si>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</si>
  <si>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</si>
  <si>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</si>
  <si>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</si>
  <si>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</si>
  <si>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</si>
  <si>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</si>
  <si>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</si>
  <si>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</si>
  <si>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</si>
  <si>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</si>
  <si>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</si>
  <si>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</si>
  <si>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</si>
  <si>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</si>
  <si>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</si>
  <si>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</si>
  <si>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</si>
  <si>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</si>
  <si>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</si>
  <si>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</si>
  <si>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</si>
  <si>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</si>
  <si>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</si>
  <si>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</si>
  <si>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</si>
  <si>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</si>
  <si>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</si>
  <si>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</si>
  <si>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</si>
  <si>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</si>
  <si>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</si>
  <si>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</si>
  <si>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</si>
  <si>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</si>
  <si>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</si>
  <si>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</si>
  <si>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</si>
  <si>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</si>
  <si>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</si>
  <si>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</si>
  <si>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</si>
  <si>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</si>
  <si>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</si>
  <si>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</si>
  <si>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</si>
  <si>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</si>
  <si>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</si>
  <si>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</si>
  <si>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</si>
  <si>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</si>
  <si>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</si>
  <si>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</si>
  <si>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</si>
  <si>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</si>
  <si>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</si>
  <si>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</si>
  <si>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</si>
  <si>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</si>
  <si>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</si>
  <si>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</si>
  <si>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</si>
  <si>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</si>
  <si>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</si>
  <si>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</si>
  <si>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</si>
  <si>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</si>
  <si>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</si>
  <si>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</si>
  <si>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</si>
  <si>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</si>
  <si>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</si>
  <si>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</si>
  <si>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</si>
  <si>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</si>
  <si>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</si>
  <si>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</si>
  <si>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</si>
  <si>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</si>
  <si>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</si>
  <si>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</si>
  <si>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</si>
  <si>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</si>
  <si>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</si>
  <si>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</si>
  <si>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</si>
  <si>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</si>
  <si>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</si>
  <si>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</si>
  <si>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</si>
  <si>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</si>
  <si>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</si>
  <si>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</si>
  <si>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</si>
  <si>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</si>
  <si>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</si>
  <si>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</si>
  <si>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</si>
  <si>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</si>
  <si>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</si>
  <si>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</si>
  <si>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</si>
  <si>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</si>
  <si>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</si>
  <si>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</si>
  <si>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</si>
  <si>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</si>
  <si>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</si>
  <si>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</si>
  <si>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</si>
  <si>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</si>
  <si>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</si>
  <si>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</si>
  <si>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</si>
  <si>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</si>
  <si>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</si>
  <si>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</si>
  <si>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</si>
  <si>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</si>
  <si>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</si>
  <si>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</si>
  <si>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</si>
  <si>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</si>
  <si>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</si>
  <si>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</si>
  <si>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</si>
  <si>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</si>
  <si>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</si>
  <si>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</si>
  <si>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</si>
  <si>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</si>
  <si>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</si>
  <si>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</si>
  <si>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</si>
  <si>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</si>
  <si>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</si>
  <si>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</si>
  <si>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</si>
  <si>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</si>
  <si>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</si>
  <si>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</si>
  <si>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</si>
  <si>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</si>
  <si>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</si>
  <si>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</si>
  <si>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</si>
  <si>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</si>
  <si>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</si>
  <si>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</si>
  <si>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</si>
  <si>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</si>
  <si>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</si>
  <si>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</si>
  <si>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</si>
  <si>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</si>
  <si>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</si>
  <si>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</si>
  <si>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</si>
  <si>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</si>
  <si>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</si>
  <si>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</si>
  <si>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</si>
  <si>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</si>
  <si>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</si>
  <si>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</si>
  <si>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</si>
  <si>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</si>
  <si>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</si>
  <si>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</si>
  <si>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</si>
  <si>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</si>
  <si>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</si>
  <si>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</si>
  <si>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</si>
  <si>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</si>
  <si>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</si>
  <si>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</si>
  <si>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</si>
  <si>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</si>
  <si>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</si>
  <si>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</si>
  <si>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</si>
  <si>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</si>
  <si>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</si>
  <si>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</si>
  <si>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</si>
  <si>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</si>
  <si>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</si>
  <si>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</si>
  <si>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</si>
  <si>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</si>
  <si>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</si>
  <si>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</si>
  <si>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</si>
  <si>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</si>
  <si>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</si>
  <si>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</si>
  <si>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</si>
  <si>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</si>
  <si>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</si>
  <si>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</si>
  <si>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</si>
  <si>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</si>
  <si>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</si>
  <si>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</si>
  <si>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</si>
  <si>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</si>
  <si>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</si>
  <si>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</si>
  <si>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</si>
  <si>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</si>
  <si>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</si>
  <si>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</si>
  <si>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</si>
  <si>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</si>
  <si>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</si>
  <si>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</si>
  <si>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</si>
  <si>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</si>
  <si>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</si>
  <si>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</si>
  <si>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</si>
  <si>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</si>
  <si>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</si>
  <si>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</si>
  <si>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</si>
  <si>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</si>
  <si>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</si>
  <si>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</si>
  <si>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</si>
  <si>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</si>
  <si>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</si>
  <si>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</si>
  <si>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</si>
  <si>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</si>
  <si>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</si>
  <si>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</si>
  <si>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</si>
  <si>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</si>
  <si>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</si>
  <si>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</si>
  <si>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</si>
  <si>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</si>
  <si>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</si>
  <si>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</si>
  <si>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</si>
  <si>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</si>
  <si>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</si>
  <si>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</si>
  <si>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</si>
  <si>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</si>
  <si>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</si>
  <si>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</si>
  <si>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</si>
  <si>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</si>
  <si>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</si>
  <si>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</si>
  <si>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</si>
  <si>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</si>
  <si>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</si>
  <si>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</si>
  <si>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</si>
  <si>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</si>
  <si>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</si>
  <si>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</si>
  <si>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</si>
  <si>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</si>
  <si>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</si>
  <si>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</si>
  <si>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</si>
  <si>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</si>
  <si>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</si>
  <si>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</si>
  <si>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</si>
  <si>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</si>
  <si>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</si>
  <si>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</si>
  <si>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</si>
  <si>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</si>
  <si>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</si>
  <si>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</si>
  <si>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</si>
  <si>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</si>
  <si>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</si>
  <si>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</si>
  <si>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</si>
  <si>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</si>
  <si>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</si>
  <si>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</si>
  <si>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</si>
  <si>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</si>
  <si>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</si>
  <si>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</si>
  <si>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</si>
  <si>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</si>
  <si>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</si>
  <si>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</si>
  <si>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</si>
  <si>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</si>
  <si>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</si>
  <si>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</si>
  <si>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</si>
  <si>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</si>
  <si>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</si>
  <si>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</si>
  <si>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</si>
  <si>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</si>
  <si>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</si>
  <si>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</si>
  <si>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</si>
  <si>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</si>
  <si>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</si>
  <si>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</si>
  <si>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</si>
  <si>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</si>
  <si>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</si>
  <si>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</si>
  <si>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</si>
  <si>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</si>
  <si>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</si>
  <si>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</si>
  <si>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</si>
  <si>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</si>
  <si>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</si>
  <si>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</si>
  <si>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</si>
  <si>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</si>
  <si>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</si>
  <si>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</si>
  <si>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</si>
  <si>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</si>
  <si>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</si>
  <si>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</si>
  <si>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</si>
  <si>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</si>
  <si>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</si>
  <si>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</si>
  <si>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</si>
  <si>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</si>
  <si>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</si>
  <si>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</si>
  <si>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</si>
  <si>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</si>
  <si>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</si>
  <si>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</si>
  <si>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</si>
  <si>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</si>
  <si>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</si>
  <si>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</si>
  <si>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</si>
  <si>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</si>
  <si>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</si>
  <si>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</si>
  <si>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</si>
  <si>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</si>
  <si>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</si>
  <si>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</si>
  <si>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</si>
  <si>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</si>
  <si>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</si>
  <si>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</si>
  <si>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</si>
  <si>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</si>
  <si>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</si>
  <si>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</si>
  <si>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</si>
  <si>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</si>
  <si>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</si>
  <si>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</si>
  <si>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</si>
  <si>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</si>
  <si>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</si>
  <si>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</si>
  <si>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</si>
  <si>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</si>
  <si>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</si>
  <si>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</si>
  <si>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</si>
  <si>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</si>
  <si>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</si>
  <si>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</si>
  <si>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</si>
  <si>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</si>
  <si>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</si>
  <si>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</si>
  <si>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</si>
  <si>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</si>
  <si>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</si>
  <si>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</si>
  <si>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</si>
  <si>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</si>
  <si>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</si>
  <si>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</si>
  <si>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</si>
  <si>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</si>
  <si>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</si>
  <si>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</si>
  <si>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</si>
  <si>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</si>
  <si>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</si>
  <si>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</si>
  <si>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</si>
  <si>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</si>
  <si>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</si>
  <si>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</si>
  <si>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</si>
  <si>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</si>
  <si>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</si>
  <si>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</si>
  <si>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</si>
  <si>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</si>
  <si>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</si>
  <si>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</si>
  <si>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</si>
  <si>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</si>
  <si>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</si>
  <si>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</si>
  <si>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</si>
  <si>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</si>
  <si>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</si>
  <si>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</si>
  <si>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</si>
  <si>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</si>
  <si>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</si>
  <si>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</si>
  <si>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</si>
  <si>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</si>
  <si>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</si>
  <si>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</si>
  <si>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</si>
  <si>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</si>
  <si>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</si>
  <si>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</si>
  <si>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</si>
  <si>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</si>
  <si>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</si>
  <si>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</si>
  <si>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</si>
  <si>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</si>
  <si>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</si>
  <si>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</si>
  <si>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</si>
  <si>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</si>
  <si>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</si>
  <si>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</si>
  <si>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</si>
  <si>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</si>
  <si>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</si>
  <si>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</si>
  <si>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</si>
  <si>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</si>
  <si>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</si>
  <si>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</si>
  <si>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</si>
  <si>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</si>
  <si>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</si>
  <si>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</si>
  <si>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</si>
  <si>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</si>
  <si>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</si>
  <si>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</si>
  <si>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</si>
  <si>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</si>
  <si>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</si>
  <si>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</si>
  <si>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</si>
  <si>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</si>
  <si>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</si>
  <si>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</si>
  <si>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</si>
  <si>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</si>
  <si>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</si>
  <si>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</si>
  <si>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</si>
  <si>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</si>
  <si>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</si>
  <si>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</si>
  <si>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</si>
  <si>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</si>
  <si>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</si>
  <si>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</si>
  <si>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</si>
  <si>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</si>
  <si>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</si>
  <si>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</si>
  <si>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</si>
  <si>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</si>
  <si>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</si>
  <si>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</si>
  <si>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</si>
  <si>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</si>
  <si>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</si>
  <si>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</si>
  <si>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</si>
  <si>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</si>
  <si>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</si>
  <si>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</si>
  <si>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</si>
  <si>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</si>
  <si>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</si>
  <si>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</si>
  <si>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</si>
  <si>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</si>
  <si>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</si>
  <si>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</si>
  <si>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</si>
  <si>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</si>
  <si>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</si>
  <si>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</si>
  <si>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</si>
  <si>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</si>
  <si>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</si>
  <si>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</si>
  <si>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</si>
  <si>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</si>
  <si>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</si>
  <si>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</si>
  <si>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</si>
  <si>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</si>
  <si>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</si>
  <si>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</si>
  <si>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</si>
  <si>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</si>
  <si>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</si>
  <si>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</si>
  <si>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</si>
  <si>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</si>
  <si>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</si>
  <si>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</si>
  <si>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</si>
  <si>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</si>
  <si>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</si>
  <si>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</si>
  <si>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</si>
  <si>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</si>
  <si>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</si>
  <si>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</si>
  <si>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</si>
  <si>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</si>
  <si>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</si>
  <si>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</si>
  <si>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</si>
  <si>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</si>
  <si>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</si>
  <si>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</si>
  <si>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</si>
  <si>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</si>
  <si>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</si>
  <si>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</si>
  <si>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</si>
  <si>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</si>
  <si>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</si>
  <si>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</si>
  <si>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</si>
  <si>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</si>
  <si>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</si>
  <si>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</si>
  <si>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</si>
  <si>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</si>
  <si>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</si>
  <si>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</si>
  <si>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</si>
  <si>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</si>
  <si>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</si>
  <si>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</si>
  <si>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</si>
  <si>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</si>
  <si>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</si>
  <si>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</si>
  <si>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</si>
  <si>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</si>
  <si>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</si>
  <si>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</si>
  <si>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</si>
  <si>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</si>
  <si>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</si>
  <si>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</si>
  <si>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</si>
  <si>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</si>
  <si>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</si>
  <si>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</si>
  <si>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</si>
  <si>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</si>
  <si>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</si>
  <si>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</si>
  <si>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</si>
  <si>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</si>
  <si>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</si>
  <si>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</si>
  <si>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</si>
  <si>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</si>
  <si>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</si>
  <si>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</si>
  <si>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</si>
  <si>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</si>
  <si>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</si>
  <si>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</si>
  <si>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</si>
  <si>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</si>
  <si>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</si>
  <si>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</si>
  <si>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</si>
  <si>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</si>
  <si>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</si>
  <si>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</si>
  <si>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</si>
  <si>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</si>
  <si>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</si>
  <si>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</si>
  <si>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</si>
  <si>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</si>
  <si>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</si>
  <si>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</si>
  <si>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</si>
  <si>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</si>
  <si>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</si>
  <si>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</si>
  <si>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</si>
  <si>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</si>
  <si>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</si>
  <si>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</si>
  <si>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</si>
  <si>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</si>
  <si>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</si>
  <si>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</si>
  <si>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</si>
  <si>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</si>
  <si>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</si>
  <si>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</si>
  <si>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</si>
  <si>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</si>
  <si>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</si>
  <si>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</si>
  <si>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</si>
  <si>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</si>
  <si>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</si>
  <si>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</si>
  <si>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</si>
  <si>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</si>
  <si>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</si>
  <si>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</si>
  <si>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</si>
  <si>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</si>
  <si>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</si>
  <si>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</si>
  <si>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</si>
  <si>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</si>
  <si>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</si>
  <si>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</si>
  <si>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</si>
  <si>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</si>
  <si>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</si>
  <si>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</si>
  <si>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</si>
  <si>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</si>
  <si>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</si>
  <si>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</si>
  <si>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</si>
  <si>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</si>
  <si>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</si>
  <si>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</si>
  <si>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</si>
  <si>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</si>
  <si>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</si>
  <si>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</si>
  <si>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</si>
  <si>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</si>
  <si>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</si>
  <si>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</si>
  <si>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</si>
  <si>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</si>
  <si>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</si>
  <si>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</si>
  <si>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</si>
  <si>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</si>
  <si>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</si>
  <si>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</si>
  <si>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</si>
  <si>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</si>
  <si>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</si>
  <si>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</si>
  <si>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</si>
  <si>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</si>
  <si>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</si>
  <si>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</si>
  <si>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</si>
  <si>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</si>
  <si>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</si>
  <si>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</si>
  <si>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</si>
  <si>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</si>
  <si>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</si>
  <si>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</si>
  <si>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</si>
  <si>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</si>
  <si>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</si>
  <si>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</si>
  <si>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</si>
  <si>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</si>
  <si>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</si>
  <si>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</si>
  <si>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</si>
  <si>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</si>
  <si>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</si>
  <si>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</si>
  <si>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</si>
  <si>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</si>
  <si>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</si>
  <si>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</si>
  <si>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</si>
  <si>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</si>
  <si>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</si>
  <si>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</si>
  <si>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</si>
  <si>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</si>
  <si>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</si>
  <si>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</si>
  <si>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</si>
  <si>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</si>
  <si>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</si>
  <si>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</si>
  <si>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</si>
  <si>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</si>
  <si>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</si>
  <si>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</si>
  <si>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</si>
  <si>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</si>
  <si>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</si>
  <si>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</si>
  <si>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</si>
  <si>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</si>
  <si>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</si>
  <si>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</si>
  <si>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</si>
  <si>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</si>
  <si>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</si>
  <si>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</si>
  <si>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</si>
  <si>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</si>
  <si>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</si>
  <si>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</si>
  <si>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</si>
  <si>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</si>
  <si>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</si>
  <si>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</si>
  <si>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</si>
  <si>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</si>
  <si>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</si>
  <si>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</si>
  <si>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</si>
  <si>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</si>
  <si>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</si>
  <si>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</si>
  <si>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</si>
  <si>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</si>
  <si>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</si>
  <si>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</si>
  <si>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</si>
  <si>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</si>
  <si>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</si>
  <si>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</si>
  <si>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</si>
  <si>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</si>
  <si>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</si>
  <si>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</si>
  <si>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</si>
  <si>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</si>
  <si>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</si>
  <si>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</si>
  <si>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</si>
  <si>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</si>
  <si>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</si>
  <si>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</si>
  <si>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</si>
  <si>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</si>
  <si>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</si>
  <si>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</si>
  <si>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</si>
  <si>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</si>
  <si>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</si>
  <si>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</si>
  <si>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</si>
  <si>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</si>
  <si>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</si>
  <si>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</si>
  <si>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</si>
  <si>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</si>
  <si>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</si>
  <si>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</si>
  <si>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</si>
  <si>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</si>
  <si>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</si>
  <si>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</si>
  <si>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</si>
  <si>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</si>
  <si>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</si>
  <si>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</si>
  <si>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</si>
  <si>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</si>
  <si>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</si>
  <si>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</si>
  <si>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</si>
  <si>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</si>
  <si>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</si>
  <si>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</si>
  <si>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</si>
  <si>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</si>
  <si>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</si>
  <si>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</si>
  <si>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</si>
  <si>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</si>
  <si>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</si>
  <si>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</si>
  <si>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</si>
  <si>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</si>
  <si>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</si>
  <si>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</si>
  <si>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</si>
  <si>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</si>
  <si>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</si>
  <si>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</si>
  <si>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</si>
  <si>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</si>
  <si>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</si>
  <si>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</si>
  <si>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</si>
  <si>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</si>
  <si>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</si>
  <si>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</si>
  <si>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</si>
  <si>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</si>
  <si>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</si>
  <si>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</si>
  <si>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</si>
  <si>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</si>
  <si>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</si>
  <si>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</si>
  <si>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</si>
  <si>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</si>
  <si>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</si>
  <si>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</si>
  <si>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</si>
  <si>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</si>
  <si>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</si>
  <si>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</si>
  <si>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</si>
  <si>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</si>
  <si>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</si>
  <si>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</si>
  <si>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</si>
  <si>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</si>
  <si>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</si>
  <si>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</si>
  <si>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</si>
  <si>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</si>
  <si>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</si>
  <si>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</si>
  <si>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</si>
  <si>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</si>
  <si>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</si>
  <si>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</si>
  <si>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</si>
  <si>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</si>
  <si>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</si>
  <si>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</si>
  <si>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</si>
  <si>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</si>
  <si>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</si>
  <si>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</si>
  <si>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</si>
  <si>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</si>
  <si>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</si>
  <si>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</si>
  <si>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</si>
  <si>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</si>
  <si>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</si>
  <si>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</si>
  <si>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</si>
  <si>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</si>
  <si>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</si>
  <si>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</si>
  <si>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</si>
  <si>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</si>
  <si>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</si>
  <si>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</si>
  <si>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</si>
  <si>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</si>
  <si>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</si>
  <si>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</si>
  <si>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</si>
  <si>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</si>
  <si>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</si>
  <si>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</si>
  <si>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</si>
  <si>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</si>
  <si>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</si>
  <si>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</si>
  <si>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</si>
  <si>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</si>
  <si>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</si>
  <si>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</si>
  <si>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</si>
  <si>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</si>
  <si>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</si>
  <si>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</si>
  <si>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</si>
  <si>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</si>
  <si>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</si>
  <si>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</si>
  <si>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</si>
  <si>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</si>
  <si>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</si>
  <si>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</si>
  <si>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</si>
  <si>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</si>
  <si>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</si>
  <si>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</si>
  <si>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</si>
  <si>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</si>
  <si>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</si>
  <si>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</si>
  <si>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</si>
  <si>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</si>
  <si>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</si>
  <si>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</si>
  <si>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</si>
  <si>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</si>
  <si>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</si>
  <si>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</si>
  <si>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</si>
  <si>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</si>
  <si>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</si>
  <si>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</si>
  <si>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</si>
  <si>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</si>
  <si>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</si>
  <si>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</si>
  <si>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</si>
  <si>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</si>
  <si>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</si>
  <si>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</si>
  <si>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</si>
  <si>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</si>
  <si>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</si>
  <si>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</si>
  <si>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</si>
  <si>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</si>
  <si>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</si>
  <si>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</si>
  <si>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</si>
  <si>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</si>
  <si>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</si>
  <si>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</si>
  <si>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</si>
  <si>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</si>
  <si>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</si>
  <si>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</si>
  <si>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</si>
  <si>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</si>
  <si>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</si>
  <si>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</si>
  <si>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</si>
  <si>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</si>
  <si>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</si>
  <si>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</si>
  <si>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</si>
  <si>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</si>
  <si>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</si>
  <si>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</si>
  <si>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</si>
  <si>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</si>
  <si>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</si>
  <si>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</si>
  <si>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</si>
  <si>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</si>
  <si>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</si>
  <si>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</si>
  <si>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</si>
  <si>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</si>
  <si>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</si>
  <si>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</si>
  <si>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</si>
  <si>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</si>
  <si>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</si>
  <si>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</si>
  <si>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</si>
  <si>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</si>
  <si>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</si>
  <si>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</si>
  <si>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</si>
  <si>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</si>
  <si>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</si>
  <si>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</si>
  <si>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</si>
  <si>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</si>
  <si>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</si>
  <si>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</si>
  <si>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</si>
  <si>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</si>
  <si>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</si>
  <si>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</si>
  <si>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</si>
  <si>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</si>
  <si>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</si>
  <si>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</si>
  <si>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</si>
  <si>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</si>
  <si>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</si>
  <si>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</si>
  <si>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</si>
  <si>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</si>
  <si>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</si>
  <si>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</si>
  <si>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</si>
  <si>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</si>
  <si>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</si>
  <si>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</si>
  <si>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</si>
  <si>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</si>
  <si>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</si>
  <si>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</si>
  <si>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</si>
  <si>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</si>
  <si>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</si>
  <si>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</si>
  <si>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</si>
  <si>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</si>
  <si>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</si>
  <si>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</si>
  <si>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</si>
  <si>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</si>
  <si>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</si>
  <si>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</si>
  <si>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</si>
  <si>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</si>
  <si>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</si>
  <si>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</si>
  <si>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</si>
  <si>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</si>
  <si>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</si>
  <si>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</si>
  <si>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</si>
  <si>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</si>
  <si>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</si>
  <si>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</si>
  <si>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</si>
  <si>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</si>
  <si>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</si>
  <si>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</si>
  <si>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</si>
  <si>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</si>
  <si>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</si>
  <si>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</si>
  <si>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</si>
  <si>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</si>
  <si>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</si>
  <si>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</si>
  <si>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</si>
  <si>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</si>
  <si>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</si>
  <si>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</si>
  <si>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</si>
  <si>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</si>
  <si>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</si>
  <si>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</si>
  <si>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</si>
  <si>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</si>
  <si>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</si>
  <si>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</si>
  <si>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</si>
  <si>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</si>
  <si>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</si>
  <si>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</si>
  <si>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</si>
  <si>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</si>
  <si>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</si>
  <si>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</si>
  <si>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</si>
  <si>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</si>
  <si>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</si>
  <si>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</si>
  <si>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</si>
  <si>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</si>
  <si>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</si>
  <si>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</si>
  <si>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</si>
  <si>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</si>
  <si>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</si>
  <si>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</si>
  <si>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</si>
  <si>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</si>
  <si>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</si>
  <si>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</si>
  <si>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</si>
  <si>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</si>
  <si>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</si>
  <si>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</si>
  <si>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</si>
  <si>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</si>
  <si>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</si>
  <si>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</si>
  <si>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</si>
  <si>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</si>
  <si>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</si>
  <si>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</si>
  <si>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</si>
  <si>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</si>
  <si>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</si>
  <si>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</si>
  <si>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</si>
  <si>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</si>
  <si>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</si>
  <si>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</si>
  <si>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</si>
  <si>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</si>
  <si>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</si>
  <si>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</si>
  <si>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</si>
  <si>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</si>
  <si>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</si>
  <si>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</si>
  <si>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</si>
  <si>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</si>
  <si>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</si>
  <si>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</si>
  <si>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</si>
  <si>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</si>
  <si>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</si>
  <si>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</si>
  <si>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</si>
  <si>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</si>
  <si>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</si>
  <si>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</si>
  <si>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</si>
  <si>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</si>
  <si>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</si>
  <si>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</si>
  <si>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</si>
  <si>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</si>
  <si>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</si>
  <si>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</si>
  <si>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</si>
  <si>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</si>
  <si>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</si>
  <si>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</si>
  <si>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</si>
  <si>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</si>
  <si>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</si>
  <si>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</si>
  <si>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</si>
  <si>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</si>
  <si>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</si>
  <si>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</si>
  <si>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</si>
  <si>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</si>
  <si>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</si>
  <si>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</si>
  <si>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</si>
  <si>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</si>
  <si>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</si>
  <si>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</si>
  <si>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</si>
  <si>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</si>
  <si>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</si>
  <si>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</si>
  <si>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</si>
  <si>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</si>
  <si>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</si>
  <si>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</si>
  <si>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</si>
  <si>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</si>
  <si>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</si>
  <si>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</si>
  <si>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</si>
  <si>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</si>
  <si>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</si>
  <si>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</si>
  <si>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</si>
  <si>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</si>
  <si>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</si>
  <si>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</si>
  <si>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</si>
  <si>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</si>
  <si>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</si>
  <si>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</si>
  <si>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</si>
  <si>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</si>
  <si>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</si>
  <si>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</si>
  <si>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</si>
  <si>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</si>
  <si>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</si>
  <si>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</si>
  <si>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</si>
  <si>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</si>
  <si>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</si>
  <si>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</si>
  <si>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</si>
  <si>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</si>
  <si>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</si>
  <si>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</si>
  <si>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</si>
  <si>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</si>
  <si>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</si>
  <si>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</si>
  <si>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</si>
  <si>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</si>
  <si>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</si>
  <si>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</si>
  <si>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</si>
  <si>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</si>
  <si>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</si>
  <si>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</si>
  <si>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</si>
  <si>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</si>
  <si>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</si>
  <si>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</si>
  <si>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</si>
  <si>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</si>
  <si>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</si>
  <si>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</si>
  <si>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</si>
  <si>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</si>
  <si>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</si>
  <si>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</si>
  <si>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</si>
  <si>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</si>
  <si>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</si>
  <si>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</si>
  <si>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</si>
  <si>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</si>
  <si>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</si>
  <si>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</si>
  <si>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</si>
  <si>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</si>
  <si>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</si>
  <si>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</si>
  <si>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</si>
  <si>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</si>
  <si>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</si>
  <si>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</si>
  <si>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</si>
  <si>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</si>
  <si>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</si>
  <si>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</si>
  <si>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</si>
  <si>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</si>
  <si>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</si>
  <si>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</si>
  <si>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</si>
  <si>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</si>
  <si>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</si>
  <si>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</si>
  <si>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</si>
  <si>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</si>
  <si>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</si>
  <si>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</si>
  <si>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</si>
  <si>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</si>
  <si>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</si>
  <si>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</si>
  <si>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</si>
  <si>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</si>
  <si>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</si>
  <si>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</si>
  <si>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</si>
  <si>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</si>
  <si>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</si>
  <si>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</si>
  <si>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</si>
  <si>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</si>
  <si>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</si>
  <si>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</si>
  <si>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</si>
  <si>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</si>
  <si>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</si>
  <si>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</si>
  <si>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</si>
  <si>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</si>
  <si>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</si>
  <si>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</si>
  <si>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</si>
  <si>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</si>
  <si>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</si>
  <si>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</si>
  <si>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</si>
  <si>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</si>
  <si>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</si>
  <si>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</si>
  <si>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</si>
  <si>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</si>
  <si>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</si>
  <si>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</si>
  <si>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</si>
  <si>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</si>
  <si>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</si>
  <si>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</si>
  <si>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</si>
  <si>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</si>
  <si>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</si>
  <si>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</si>
  <si>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</si>
  <si>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</si>
  <si>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</si>
  <si>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</si>
  <si>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</si>
  <si>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</si>
  <si>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</si>
  <si>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</si>
  <si>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</si>
  <si>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</si>
  <si>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</si>
  <si>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</si>
  <si>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</si>
  <si>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</si>
  <si>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</si>
  <si>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</si>
  <si>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</si>
  <si>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</si>
  <si>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</si>
  <si>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</si>
  <si>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</si>
  <si>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</si>
  <si>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</si>
  <si>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</si>
  <si>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</si>
  <si>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</si>
  <si>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</si>
  <si>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</si>
  <si>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</si>
  <si>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</si>
  <si>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</si>
  <si>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</si>
  <si>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</si>
  <si>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</si>
  <si>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</si>
  <si>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</si>
  <si>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</si>
  <si>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</si>
  <si>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</si>
  <si>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</si>
  <si>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</si>
  <si>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</si>
  <si>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</si>
  <si>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</si>
  <si>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</si>
  <si>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</si>
  <si>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</si>
  <si>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</si>
  <si>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</si>
  <si>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</si>
  <si>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</si>
  <si>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</si>
  <si>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</si>
  <si>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</si>
  <si>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</si>
  <si>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</si>
  <si>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</si>
  <si>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</si>
  <si>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</si>
  <si>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</si>
  <si>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</si>
  <si>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</si>
  <si>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</si>
  <si>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</si>
  <si>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</si>
  <si>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</si>
  <si>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</si>
  <si>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</si>
  <si>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</si>
  <si>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</si>
  <si>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</si>
  <si>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</si>
  <si>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</si>
  <si>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</si>
  <si>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</si>
  <si>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</si>
  <si>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</si>
  <si>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</si>
  <si>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</si>
  <si>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</si>
  <si>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</si>
  <si>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</si>
  <si>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</si>
  <si>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</si>
  <si>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</si>
  <si>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</si>
  <si>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</si>
  <si>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</si>
  <si>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</si>
  <si>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</si>
  <si>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</si>
  <si>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</si>
  <si>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</si>
  <si>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</si>
  <si>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</si>
  <si>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</si>
  <si>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</si>
  <si>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</si>
  <si>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</si>
  <si>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</si>
  <si>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</si>
  <si>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</si>
  <si>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</si>
  <si>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</si>
  <si>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</si>
  <si>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</si>
  <si>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</si>
  <si>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</si>
  <si>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</si>
  <si>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</si>
  <si>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</si>
  <si>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</si>
  <si>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</si>
  <si>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</si>
  <si>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</si>
  <si>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</si>
  <si>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</si>
  <si>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</si>
  <si>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</si>
  <si>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</si>
  <si>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</si>
  <si>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</si>
  <si>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</si>
  <si>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</si>
  <si>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</si>
  <si>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</si>
  <si>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</si>
  <si>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</si>
  <si>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</si>
  <si>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</si>
  <si>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</si>
  <si>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</si>
  <si>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</si>
  <si>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</si>
  <si>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</si>
  <si>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</si>
  <si>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</si>
  <si>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</si>
  <si>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</si>
  <si>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</si>
  <si>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</si>
  <si>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</si>
  <si>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</si>
  <si>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</si>
  <si>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</si>
  <si>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</si>
  <si>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</si>
  <si>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</si>
  <si>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</si>
  <si>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</si>
  <si>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</si>
  <si>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</si>
  <si>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</si>
  <si>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</si>
  <si>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</si>
  <si>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</si>
  <si>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</si>
  <si>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</si>
  <si>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</si>
  <si>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</si>
  <si>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</si>
  <si>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</si>
  <si>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</si>
  <si>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</si>
  <si>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</si>
  <si>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</si>
  <si>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</si>
  <si>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</si>
  <si>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</si>
  <si>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</si>
  <si>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</si>
  <si>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</si>
  <si>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</si>
  <si>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</si>
  <si>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</si>
  <si>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</si>
  <si>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</si>
  <si>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</si>
  <si>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</si>
  <si>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</si>
  <si>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</si>
  <si>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</si>
  <si>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</si>
  <si>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</si>
  <si>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</si>
  <si>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</si>
  <si>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</si>
  <si>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</si>
  <si>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</si>
  <si>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</si>
  <si>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</si>
  <si>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</si>
  <si>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</si>
  <si>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</si>
  <si>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</si>
  <si>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</si>
  <si>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</si>
  <si>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</si>
  <si>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</si>
  <si>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</si>
  <si>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</si>
  <si>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</si>
  <si>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</si>
  <si>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</si>
  <si>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</si>
  <si>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</si>
  <si>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</si>
  <si>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</si>
  <si>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</si>
  <si>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</si>
  <si>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</si>
  <si>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</si>
  <si>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</si>
  <si>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</si>
  <si>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</si>
  <si>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</si>
  <si>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</si>
  <si>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</si>
  <si>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</si>
  <si>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</si>
  <si>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</si>
  <si>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</si>
  <si>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</si>
  <si>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</si>
  <si>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</si>
  <si>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</si>
  <si>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</si>
  <si>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</si>
  <si>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</si>
  <si>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</si>
  <si>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</si>
  <si>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</si>
  <si>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</si>
  <si>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</si>
  <si>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</si>
  <si>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</si>
  <si>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</si>
  <si>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</si>
  <si>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</si>
  <si>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</si>
  <si>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</si>
  <si>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</si>
  <si>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</si>
  <si>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</si>
  <si>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</si>
  <si>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</si>
  <si>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</si>
  <si>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</si>
  <si>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</si>
  <si>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</si>
  <si>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</si>
  <si>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</si>
  <si>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</si>
  <si>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</si>
  <si>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</si>
  <si>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</si>
  <si>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</si>
  <si>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</si>
  <si>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</si>
  <si>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</si>
  <si>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</si>
  <si>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</si>
  <si>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</si>
  <si>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</si>
  <si>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</si>
  <si>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</si>
  <si>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</si>
  <si>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</si>
  <si>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</si>
  <si>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</si>
  <si>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</si>
  <si>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</si>
  <si>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</si>
  <si>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</si>
  <si>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</si>
  <si>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</si>
  <si>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</si>
  <si>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</si>
  <si>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</si>
  <si>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</si>
  <si>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</si>
  <si>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</si>
  <si>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</si>
  <si>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</si>
  <si>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</si>
  <si>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</si>
  <si>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</si>
  <si>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</si>
  <si>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</si>
  <si>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</si>
  <si>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</si>
  <si>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</si>
  <si>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</si>
  <si>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</si>
  <si>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</si>
  <si>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</si>
  <si>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</si>
  <si>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</si>
  <si>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</si>
  <si>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</si>
  <si>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</si>
  <si>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</si>
  <si>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</si>
  <si>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</si>
  <si>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</si>
  <si>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</si>
  <si>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</si>
  <si>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</si>
  <si>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</si>
  <si>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</si>
  <si>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</si>
  <si>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</si>
  <si>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</si>
  <si>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</si>
  <si>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</si>
  <si>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</si>
  <si>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</si>
  <si>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</si>
  <si>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</si>
  <si>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</si>
  <si>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</si>
  <si>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</si>
  <si>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</si>
  <si>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</si>
  <si>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</si>
  <si>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</si>
  <si>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</si>
  <si>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</si>
  <si>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</si>
  <si>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</si>
  <si>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</si>
  <si>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</si>
  <si>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</si>
  <si>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</si>
  <si>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</si>
  <si>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</si>
  <si>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</si>
  <si>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</si>
  <si>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</si>
  <si>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</si>
  <si>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</si>
  <si>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</si>
  <si>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</si>
  <si>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</si>
  <si>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</si>
  <si>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</si>
  <si>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</si>
  <si>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</si>
  <si>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</si>
  <si>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</si>
  <si>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</si>
  <si>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</si>
  <si>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</si>
  <si>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</si>
  <si>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</si>
  <si>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</si>
  <si>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</si>
  <si>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</si>
  <si>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</si>
  <si>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</si>
  <si>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</si>
  <si>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</si>
  <si>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</si>
  <si>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</si>
  <si>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</si>
  <si>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</si>
  <si>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</si>
  <si>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</si>
  <si>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</si>
  <si>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</si>
  <si>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</si>
  <si>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</si>
  <si>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</si>
  <si>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</si>
  <si>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</si>
  <si>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</si>
  <si>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</si>
  <si>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</si>
  <si>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</si>
  <si>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</si>
  <si>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</si>
  <si>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</si>
  <si>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</si>
  <si>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</si>
  <si>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</si>
  <si>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</si>
  <si>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</si>
  <si>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</si>
  <si>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</si>
  <si>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</si>
  <si>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</si>
  <si>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</si>
  <si>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</si>
  <si>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</si>
  <si>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</si>
  <si>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</si>
  <si>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</si>
  <si>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</si>
  <si>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</si>
  <si>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</si>
  <si>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</si>
  <si>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</si>
  <si>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</si>
  <si>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</si>
  <si>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</si>
  <si>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</si>
  <si>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</si>
  <si>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</si>
  <si>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</si>
  <si>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</si>
  <si>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</si>
  <si>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</si>
  <si>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</si>
  <si>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</si>
  <si>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</si>
  <si>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</si>
  <si>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</si>
  <si>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</si>
  <si>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</si>
  <si>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</si>
  <si>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</si>
  <si>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</si>
  <si>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</si>
  <si>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</si>
  <si>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</si>
  <si>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</si>
  <si>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</si>
  <si>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</si>
  <si>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</si>
  <si>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</si>
  <si>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</si>
  <si>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</si>
  <si>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</si>
  <si>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</si>
  <si>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</si>
  <si>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</si>
  <si>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</si>
  <si>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</si>
  <si>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</si>
  <si>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</si>
  <si>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</si>
  <si>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</si>
  <si>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</si>
  <si>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</si>
  <si>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</si>
  <si>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</si>
  <si>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</si>
  <si>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</si>
  <si>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</si>
  <si>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</si>
  <si>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</si>
  <si>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</si>
  <si>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</si>
  <si>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</si>
  <si>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</si>
  <si>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</si>
  <si>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</si>
  <si>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</si>
  <si>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</si>
  <si>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</si>
  <si>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</si>
  <si>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</si>
  <si>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</si>
  <si>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</si>
  <si>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</si>
  <si>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</si>
  <si>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</si>
  <si>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</si>
  <si>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</si>
  <si>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</si>
  <si>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</si>
  <si>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</si>
  <si>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</si>
  <si>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</si>
  <si>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</si>
  <si>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</si>
  <si>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</si>
  <si>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</si>
  <si>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</si>
  <si>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</si>
  <si>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</si>
  <si>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</si>
  <si>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</si>
  <si>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</si>
  <si>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</si>
  <si>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</si>
  <si>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</si>
  <si>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</si>
  <si>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</si>
  <si>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</si>
  <si>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</si>
  <si>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</si>
  <si>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</si>
  <si>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</si>
  <si>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</si>
  <si>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</si>
  <si>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</si>
  <si>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</si>
  <si>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</si>
  <si>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</si>
  <si>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</si>
  <si>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</si>
  <si>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</si>
  <si>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</si>
  <si>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</si>
  <si>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</si>
  <si>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</si>
  <si>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</si>
  <si>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</si>
  <si>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</si>
  <si>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</si>
  <si>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</si>
  <si>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</si>
  <si>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</si>
  <si>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</si>
  <si>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</si>
  <si>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</si>
  <si>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</si>
  <si>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</si>
  <si>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</si>
  <si>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</si>
  <si>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</si>
  <si>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</si>
  <si>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</si>
  <si>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</si>
  <si>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</si>
  <si>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</si>
  <si>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</si>
  <si>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</si>
  <si>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</si>
  <si>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</si>
  <si>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</si>
  <si>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</si>
  <si>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</si>
  <si>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</si>
  <si>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</si>
  <si>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</si>
  <si>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</si>
  <si>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</si>
  <si>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</si>
  <si>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</si>
  <si>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</si>
  <si>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</si>
  <si>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</si>
  <si>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</si>
  <si>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</si>
  <si>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</si>
  <si>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</si>
  <si>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</si>
  <si>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</si>
  <si>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</si>
  <si>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</si>
  <si>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</si>
  <si>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</si>
  <si>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</si>
  <si>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</si>
  <si>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</si>
  <si>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</si>
  <si>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</si>
  <si>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</si>
  <si>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</si>
  <si>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</si>
  <si>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</si>
  <si>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</si>
  <si>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</si>
  <si>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</si>
  <si>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</si>
  <si>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</si>
  <si>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</si>
  <si>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</si>
  <si>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</si>
  <si>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</si>
  <si>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</si>
  <si>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</si>
  <si>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</si>
  <si>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</si>
  <si>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</si>
  <si>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</si>
  <si>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</si>
  <si>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</si>
  <si>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</si>
  <si>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</si>
  <si>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</si>
  <si>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</si>
  <si>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</si>
  <si>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</si>
  <si>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</si>
  <si>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</si>
  <si>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</si>
  <si>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</si>
  <si>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</si>
  <si>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</si>
  <si>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</si>
  <si>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</si>
  <si>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</si>
  <si>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</si>
  <si>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</si>
  <si>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</si>
  <si>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</si>
  <si>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</si>
  <si>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</si>
  <si>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</si>
  <si>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</si>
  <si>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</si>
  <si>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</si>
  <si>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</si>
  <si>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</si>
  <si>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</si>
  <si>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</si>
  <si>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</si>
  <si>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</si>
  <si>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</si>
  <si>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</si>
  <si>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</si>
  <si>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</si>
  <si>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</si>
  <si>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</si>
  <si>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</si>
  <si>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</si>
  <si>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</si>
  <si>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</si>
  <si>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</si>
  <si>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</si>
  <si>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</si>
  <si>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</si>
  <si>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</si>
  <si>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</si>
  <si>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</si>
  <si>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</si>
  <si>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</si>
  <si>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</si>
  <si>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</si>
  <si>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</si>
  <si>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</si>
  <si>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</si>
  <si>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</si>
  <si>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</si>
  <si>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</si>
  <si>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</si>
  <si>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</si>
  <si>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</si>
  <si>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</si>
  <si>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</si>
  <si>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</si>
  <si>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</si>
  <si>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</si>
  <si>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</si>
  <si>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</si>
  <si>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</si>
  <si>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</si>
  <si>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</si>
  <si>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</si>
  <si>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</si>
  <si>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</si>
  <si>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</si>
  <si>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</si>
  <si>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</si>
  <si>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</si>
  <si>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</si>
  <si>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</si>
  <si>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</si>
  <si>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</si>
  <si>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</si>
  <si>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</si>
  <si>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</si>
  <si>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</si>
  <si>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</si>
  <si>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</si>
  <si>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</si>
  <si>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</si>
  <si>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</si>
  <si>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</si>
  <si>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</si>
  <si>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</si>
  <si>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</si>
  <si>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</si>
  <si>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</si>
  <si>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</si>
  <si>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</si>
  <si>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</si>
  <si>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</si>
  <si>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</si>
  <si>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</si>
  <si>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</si>
  <si>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</si>
  <si>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</si>
  <si>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</si>
  <si>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</si>
  <si>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</si>
  <si>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</si>
  <si>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</si>
  <si>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</si>
  <si>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</si>
  <si>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</si>
  <si>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</si>
  <si>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</si>
  <si>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</si>
  <si>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</si>
  <si>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</si>
  <si>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</si>
  <si>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</si>
  <si>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</si>
  <si>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</si>
  <si>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</si>
  <si>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</si>
  <si>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</si>
  <si>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</si>
  <si>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</si>
  <si>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</si>
  <si>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</si>
  <si>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</si>
  <si>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</si>
  <si>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</si>
  <si>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</si>
  <si>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</si>
  <si>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</si>
  <si>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</si>
  <si>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</si>
  <si>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</si>
  <si>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</si>
  <si>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</si>
  <si>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</si>
  <si>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</si>
  <si>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</si>
  <si>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</si>
  <si>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</si>
  <si>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</si>
  <si>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</si>
  <si>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</si>
  <si>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</si>
  <si>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</si>
  <si>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</si>
  <si>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</si>
  <si>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</si>
  <si>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</si>
  <si>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</si>
  <si>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</si>
  <si>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</si>
  <si>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</si>
  <si>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</si>
  <si>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</si>
  <si>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</si>
  <si>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</si>
  <si>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</si>
  <si>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</si>
  <si>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</si>
  <si>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</si>
  <si>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</si>
  <si>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</si>
  <si>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</si>
  <si>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</si>
  <si>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</si>
  <si>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</si>
  <si>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</si>
  <si>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</si>
  <si>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</si>
  <si>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</si>
  <si>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</si>
  <si>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</si>
  <si>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</si>
  <si>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</si>
  <si>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</si>
  <si>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</si>
  <si>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</si>
  <si>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</si>
  <si>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</si>
  <si>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</si>
  <si>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</si>
  <si>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</si>
  <si>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</si>
  <si>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</si>
  <si>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</si>
  <si>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</si>
  <si>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</si>
  <si>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</si>
  <si>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</si>
  <si>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</si>
  <si>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</si>
  <si>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</si>
  <si>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</si>
  <si>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</si>
  <si>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</si>
  <si>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</si>
  <si>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</si>
  <si>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</si>
  <si>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</si>
  <si>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</si>
  <si>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</si>
  <si>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</si>
  <si>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</si>
  <si>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</si>
  <si>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</si>
  <si>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</si>
  <si>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</si>
  <si>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</si>
  <si>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</si>
  <si>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</si>
  <si>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</si>
  <si>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</si>
  <si>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</si>
  <si>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</si>
  <si>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</si>
  <si>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</si>
  <si>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</si>
  <si>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</si>
  <si>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</si>
  <si>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</si>
  <si>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</si>
  <si>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</si>
  <si>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</si>
  <si>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</si>
  <si>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</si>
  <si>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</si>
  <si>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</si>
  <si>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</si>
  <si>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</si>
  <si>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</si>
  <si>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</si>
  <si>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</si>
  <si>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</si>
  <si>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</si>
  <si>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</si>
  <si>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</si>
  <si>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</si>
  <si>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</si>
  <si>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</si>
  <si>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</si>
  <si>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</si>
  <si>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</si>
  <si>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</si>
  <si>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</si>
  <si>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</si>
  <si>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</si>
  <si>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</si>
  <si>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</si>
  <si>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</si>
  <si>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</si>
  <si>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</si>
  <si>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</si>
  <si>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</si>
  <si>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</si>
  <si>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</si>
  <si>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</si>
  <si>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</si>
  <si>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</si>
  <si>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</si>
  <si>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</si>
  <si>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</si>
  <si>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</si>
  <si>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</si>
  <si>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</si>
  <si>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</si>
  <si>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</si>
  <si>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</si>
  <si>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</si>
  <si>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</si>
  <si>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</si>
  <si>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</si>
  <si>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</si>
  <si>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</si>
  <si>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</si>
  <si>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</si>
  <si>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</si>
  <si>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</si>
  <si>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</si>
  <si>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</si>
  <si>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</si>
  <si>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</si>
  <si>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</si>
  <si>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</si>
  <si>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</si>
  <si>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</si>
  <si>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</si>
  <si>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</si>
  <si>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</si>
  <si>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</si>
  <si>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</si>
  <si>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</si>
  <si>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</si>
  <si>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</si>
  <si>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</si>
  <si>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</si>
  <si>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</si>
  <si>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</si>
  <si>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</si>
  <si>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</si>
  <si>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</si>
  <si>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</si>
  <si>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</si>
  <si>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</si>
  <si>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</si>
  <si>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</si>
  <si>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</si>
  <si>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</si>
  <si>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</si>
  <si>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</si>
  <si>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</si>
  <si>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</si>
  <si>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</si>
  <si>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</si>
  <si>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</si>
  <si>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</si>
  <si>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</si>
  <si>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</si>
  <si>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</si>
  <si>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</si>
  <si>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</si>
  <si>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</si>
  <si>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</si>
  <si>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</si>
  <si>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</si>
  <si>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</si>
  <si>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</si>
  <si>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</si>
  <si>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</si>
  <si>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</si>
  <si>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</si>
  <si>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</si>
  <si>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</si>
  <si>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</si>
  <si>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</si>
  <si>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</si>
  <si>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</si>
  <si>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</si>
  <si>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</si>
  <si>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</si>
  <si>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</si>
  <si>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</si>
  <si>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</si>
  <si>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</si>
  <si>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</si>
  <si>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</si>
  <si>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</si>
  <si>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</si>
  <si>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</si>
  <si>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</si>
  <si>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</si>
  <si>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</si>
  <si>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</si>
  <si>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</si>
  <si>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</si>
  <si>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</si>
  <si>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</si>
  <si>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</si>
  <si>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</si>
  <si>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</si>
  <si>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</si>
  <si>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</si>
  <si>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</si>
  <si>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</si>
  <si>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</si>
  <si>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</si>
  <si>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</si>
  <si>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</si>
  <si>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</si>
  <si>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</si>
  <si>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</si>
  <si>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</si>
  <si>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</si>
  <si>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</si>
  <si>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</si>
  <si>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</si>
  <si>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</si>
  <si>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</si>
  <si>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</si>
  <si>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</si>
  <si>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</si>
  <si>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</si>
  <si>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</si>
  <si>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</si>
  <si>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</si>
  <si>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</si>
  <si>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</si>
  <si>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</si>
  <si>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</si>
  <si>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</si>
  <si>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</si>
  <si>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</si>
  <si>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</si>
  <si>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</si>
  <si>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</si>
  <si>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</si>
  <si>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</si>
  <si>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</si>
  <si>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</si>
  <si>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</si>
  <si>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</si>
  <si>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</si>
  <si>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</si>
  <si>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</si>
  <si>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</si>
  <si>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</si>
  <si>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</si>
  <si>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</si>
  <si>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</si>
  <si>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</si>
  <si>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</si>
  <si>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</si>
  <si>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</si>
  <si>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</si>
  <si>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</si>
  <si>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</si>
  <si>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</si>
  <si>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</si>
  <si>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</si>
  <si>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</si>
  <si>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</si>
  <si>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</si>
  <si>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</si>
  <si>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</si>
  <si>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</si>
  <si>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</si>
  <si>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</si>
  <si>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</si>
  <si>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</si>
  <si>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</si>
  <si>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</si>
  <si>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</si>
  <si>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</si>
  <si>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</si>
  <si>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</si>
  <si>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</si>
  <si>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</si>
  <si>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</si>
  <si>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</si>
  <si>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</si>
  <si>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</si>
  <si>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</si>
  <si>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</si>
  <si>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</si>
  <si>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</si>
  <si>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</si>
  <si>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</si>
  <si>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</si>
  <si>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</si>
  <si>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</si>
  <si>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</si>
  <si>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</si>
  <si>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</si>
  <si>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</si>
  <si>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</si>
  <si>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</si>
  <si>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</si>
  <si>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</si>
  <si>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</si>
  <si>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</si>
  <si>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</si>
  <si>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</si>
  <si>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</si>
  <si>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</si>
  <si>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</si>
  <si>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</si>
  <si>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</si>
  <si>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</si>
  <si>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</si>
  <si>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</si>
  <si>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</si>
  <si>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</si>
  <si>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</si>
  <si>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</si>
  <si>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</si>
  <si>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</si>
  <si>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</si>
  <si>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</si>
  <si>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</si>
  <si>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</si>
  <si>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</si>
  <si>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</si>
  <si>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</si>
  <si>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</si>
  <si>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</si>
  <si>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</si>
  <si>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</si>
  <si>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</si>
  <si>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</si>
  <si>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</si>
  <si>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</si>
  <si>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</si>
  <si>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</si>
  <si>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</si>
  <si>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</si>
  <si>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</si>
  <si>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</si>
  <si>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</si>
  <si>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</si>
  <si>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</si>
  <si>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</si>
  <si>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</si>
  <si>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</si>
  <si>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</si>
  <si>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</si>
  <si>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</si>
  <si>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</si>
  <si>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</si>
  <si>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</si>
  <si>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</si>
  <si>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</si>
  <si>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</si>
  <si>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</si>
  <si>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</si>
  <si>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</si>
  <si>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</si>
  <si>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</si>
  <si>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</si>
  <si>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</si>
  <si>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</si>
  <si>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</si>
  <si>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</si>
  <si>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</si>
  <si>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</si>
  <si>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</si>
  <si>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</si>
  <si>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</si>
  <si>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</si>
  <si>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</si>
  <si>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</si>
  <si>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</si>
  <si>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</si>
  <si>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</si>
  <si>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</si>
  <si>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</si>
  <si>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</si>
  <si>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</si>
  <si>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</si>
  <si>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</si>
  <si>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</si>
  <si>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</si>
  <si>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</si>
  <si>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</si>
  <si>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</si>
  <si>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</si>
  <si>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</si>
  <si>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</si>
  <si>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</si>
  <si>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</si>
  <si>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</si>
  <si>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</si>
  <si>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</si>
  <si>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</si>
  <si>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</si>
  <si>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</si>
  <si>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</si>
  <si>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</si>
  <si>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</si>
  <si>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</si>
  <si>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</si>
  <si>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</si>
  <si>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</si>
  <si>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</si>
  <si>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</si>
  <si>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</si>
  <si>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</si>
  <si>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</si>
  <si>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</si>
  <si>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</si>
  <si>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</si>
  <si>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</si>
  <si>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</si>
  <si>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</si>
  <si>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</si>
  <si>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</si>
  <si>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</si>
  <si>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</si>
  <si>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</si>
  <si>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</si>
  <si>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</si>
  <si>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</si>
  <si>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</si>
  <si>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</si>
  <si>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</si>
  <si>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</si>
  <si>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</si>
  <si>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</si>
  <si>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</si>
  <si>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</si>
  <si>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</si>
  <si>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</si>
  <si>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</si>
  <si>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</si>
  <si>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</si>
  <si>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</si>
  <si>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</si>
  <si>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</si>
  <si>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</si>
  <si>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</si>
  <si>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</si>
  <si>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</si>
  <si>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</si>
  <si>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</si>
  <si>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</si>
  <si>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</si>
  <si>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</si>
  <si>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</si>
  <si>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</si>
  <si>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</si>
  <si>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</si>
  <si>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</si>
  <si>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</si>
  <si>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</si>
  <si>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</si>
  <si>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</si>
  <si>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</si>
  <si>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</si>
  <si>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</si>
  <si>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</si>
  <si>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</si>
  <si>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</si>
  <si>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</si>
  <si>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</si>
  <si>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</si>
  <si>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</si>
  <si>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</si>
  <si>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</si>
  <si>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</si>
  <si>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</si>
  <si>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</si>
  <si>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</si>
  <si>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</si>
  <si>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</si>
  <si>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</si>
  <si>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</si>
  <si>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</si>
  <si>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</si>
  <si>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</si>
  <si>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</si>
  <si>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</si>
  <si>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</si>
  <si>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</si>
  <si>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</si>
  <si>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</si>
  <si>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</si>
  <si>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</si>
  <si>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</si>
  <si>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</si>
  <si>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</si>
  <si>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</si>
  <si>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</si>
  <si>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</si>
  <si>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</si>
  <si>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</si>
  <si>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</si>
  <si>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</si>
  <si>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</si>
  <si>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</si>
  <si>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</si>
  <si>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</si>
  <si>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</si>
  <si>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</si>
  <si>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</si>
  <si>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</si>
  <si>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</si>
  <si>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</si>
  <si>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</si>
  <si>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</si>
  <si>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</si>
  <si>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</si>
  <si>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</si>
  <si>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</si>
  <si>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</si>
  <si>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</si>
  <si>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</si>
  <si>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</si>
  <si>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</si>
  <si>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</si>
  <si>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</si>
  <si>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</si>
  <si>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</si>
  <si>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</si>
  <si>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</si>
  <si>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</si>
  <si>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</si>
  <si>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</si>
  <si>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</si>
  <si>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</si>
  <si>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</si>
  <si>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</si>
  <si>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طلای لوتوس</t>
  </si>
  <si>
    <t>طلای لوتوس 271 تا 2850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</si>
  <si>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</si>
  <si>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</si>
  <si>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</si>
  <si>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</si>
  <si>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</si>
  <si>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</si>
  <si>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</si>
  <si>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</si>
  <si>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</si>
  <si>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</si>
  <si>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</si>
  <si>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</si>
  <si>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</si>
  <si>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</si>
  <si>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</si>
  <si>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</si>
  <si>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</si>
  <si>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</si>
  <si>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</si>
  <si>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</si>
  <si>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</si>
  <si>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</si>
  <si>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</si>
  <si>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</si>
  <si>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</si>
  <si>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</si>
  <si>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</si>
  <si>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</si>
  <si>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</si>
  <si>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</si>
  <si>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</si>
  <si>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</si>
  <si>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</si>
  <si>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</si>
  <si>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</si>
  <si>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</si>
  <si>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</si>
  <si>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</si>
  <si>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</si>
  <si>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</si>
  <si>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</si>
  <si>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</si>
  <si>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</si>
  <si>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</si>
  <si>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شاراک 6431 تا 4418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</si>
  <si>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</si>
  <si>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</si>
  <si>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</si>
  <si>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</si>
  <si>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</si>
  <si>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</si>
  <si>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</si>
  <si>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</si>
  <si>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</si>
  <si>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</si>
  <si>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</si>
  <si>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</si>
  <si>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</si>
  <si>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</si>
  <si>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</si>
  <si>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</si>
  <si>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</si>
  <si>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</si>
  <si>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</si>
  <si>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</si>
  <si>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</si>
  <si>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</si>
  <si>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</si>
  <si>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</si>
  <si>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</si>
  <si>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</si>
  <si>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شخارک 29 تا 3544.7</t>
  </si>
  <si>
    <t>مبلغ 100000 تومن نوسانگیری</t>
  </si>
  <si>
    <t>3/10/1397</t>
  </si>
  <si>
    <t>شسپا 40 تا 2564</t>
  </si>
  <si>
    <t>شخارک 30 تا 3415</t>
  </si>
  <si>
    <t xml:space="preserve"> شسپا</t>
  </si>
  <si>
    <t>168.5  171.9-191.5</t>
  </si>
  <si>
    <t>وغدیر 10260 تا 161.4</t>
  </si>
  <si>
    <t>تشویقی</t>
  </si>
  <si>
    <t>بدهی وام بانک ملی 3 قسط 3/10/97</t>
  </si>
  <si>
    <t>از ملت علی به انصار مریم و مسکن سارا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</si>
</sst>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1" workbookViewId="0">
      <selection activeCell="E41" sqref="E41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4452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4614</v>
      </c>
      <c r="B3" s="18">
        <v>220000</v>
      </c>
      <c r="C3" s="18">
        <v>0</v>
      </c>
      <c r="D3" s="113">
        <f t="shared" ref="D3:D30" si="0">B3-C3</f>
        <v>220000</v>
      </c>
      <c r="E3" s="20" t="s">
        <v>3893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4614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4620</v>
      </c>
      <c r="B5" s="18">
        <v>100000</v>
      </c>
      <c r="C5" s="18">
        <v>0</v>
      </c>
      <c r="D5" s="113">
        <f t="shared" si="0"/>
        <v>100000</v>
      </c>
      <c r="E5" s="20" t="s">
        <v>3893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4620</v>
      </c>
      <c r="B6" s="18">
        <v>2600000</v>
      </c>
      <c r="C6" s="18">
        <v>0</v>
      </c>
      <c r="D6" s="113">
        <f t="shared" si="0"/>
        <v>2600000</v>
      </c>
      <c r="E6" s="19" t="s">
        <v>3893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4460</v>
      </c>
      <c r="B7" s="18"/>
      <c r="C7" s="18"/>
      <c r="D7" s="113">
        <f t="shared" si="0"/>
        <v>0</v>
      </c>
      <c r="E7" s="19"/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4460</v>
      </c>
      <c r="B8" s="18"/>
      <c r="C8" s="18"/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4460</v>
      </c>
      <c r="B9" s="18"/>
      <c r="C9" s="18"/>
      <c r="D9" s="113">
        <f t="shared" si="0"/>
        <v>0</v>
      </c>
      <c r="E9" s="21"/>
      <c r="F9" s="96">
        <v>21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4460</v>
      </c>
      <c r="B10" s="18"/>
      <c r="C10" s="18"/>
      <c r="D10" s="113">
        <f t="shared" si="0"/>
        <v>0</v>
      </c>
      <c r="E10" s="19"/>
      <c r="F10" s="96">
        <v>20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4507</v>
      </c>
      <c r="B11" s="18"/>
      <c r="C11" s="18"/>
      <c r="D11" s="113">
        <f t="shared" si="0"/>
        <v>0</v>
      </c>
      <c r="E11" s="19"/>
      <c r="F11" s="96">
        <v>19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4507</v>
      </c>
      <c r="B12" s="18"/>
      <c r="C12" s="18"/>
      <c r="D12" s="113">
        <f t="shared" si="0"/>
        <v>0</v>
      </c>
      <c r="E12" s="20"/>
      <c r="F12" s="96">
        <v>19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4516</v>
      </c>
      <c r="B13" s="18"/>
      <c r="C13" s="18"/>
      <c r="D13" s="113">
        <f t="shared" si="0"/>
        <v>0</v>
      </c>
      <c r="E13" s="20"/>
      <c r="F13" s="96">
        <v>19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4235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4235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4527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4529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4531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4533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4533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4533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4539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4556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4557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4557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4557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4562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4578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4578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4578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4172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2816365</v>
      </c>
      <c r="C32" s="113">
        <f>SUM(C2:C31)</f>
        <v>0</v>
      </c>
      <c r="D32" s="113">
        <f>SUM(D2:D31)</f>
        <v>2816365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76280340</v>
      </c>
      <c r="H33" s="18">
        <f>SUM(H2:H31)</f>
        <v>0</v>
      </c>
      <c r="I33" s="18">
        <f>SUM(I2:I31)</f>
        <v>76280340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4616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4628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1671127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zoomScaleNormal="100" workbookViewId="0">
      <pane ySplit="1" topLeftCell="A263" activePane="bottomLeft" state="frozen"/>
      <selection pane="bottomLeft" activeCell="F271" sqref="F27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989</v>
      </c>
      <c r="H2" s="36">
        <f>IF(B2&gt;0,1,0)</f>
        <v>1</v>
      </c>
      <c r="I2" s="11">
        <f>B2*(G2-H2)</f>
        <v>16499600</v>
      </c>
      <c r="J2" s="53">
        <f>C2*(G2-H2)</f>
        <v>16499600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988</v>
      </c>
      <c r="H3" s="36">
        <f t="shared" ref="H3:H66" si="2">IF(B3&gt;0,1,0)</f>
        <v>1</v>
      </c>
      <c r="I3" s="11">
        <f t="shared" ref="I3:I66" si="3">B3*(G3-H3)</f>
        <v>19641300000</v>
      </c>
      <c r="J3" s="53">
        <f t="shared" ref="J3:J66" si="4">C3*(G3-H3)</f>
        <v>11238969000</v>
      </c>
      <c r="K3" s="53">
        <f t="shared" ref="K3:K66" si="5">D3*(G3-H3)</f>
        <v>8402331000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988</v>
      </c>
      <c r="H4" s="36">
        <f t="shared" si="2"/>
        <v>0</v>
      </c>
      <c r="I4" s="11">
        <f t="shared" si="3"/>
        <v>0</v>
      </c>
      <c r="J4" s="53">
        <f t="shared" si="4"/>
        <v>8398000</v>
      </c>
      <c r="K4" s="53">
        <f t="shared" si="5"/>
        <v>-8398000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986</v>
      </c>
      <c r="H5" s="36">
        <f t="shared" si="2"/>
        <v>1</v>
      </c>
      <c r="I5" s="11">
        <f t="shared" si="3"/>
        <v>1970000000</v>
      </c>
      <c r="J5" s="53">
        <f t="shared" si="4"/>
        <v>0</v>
      </c>
      <c r="K5" s="53">
        <f t="shared" si="5"/>
        <v>1970000000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979</v>
      </c>
      <c r="H6" s="36">
        <f t="shared" si="2"/>
        <v>0</v>
      </c>
      <c r="I6" s="11">
        <f t="shared" si="3"/>
        <v>-4895000</v>
      </c>
      <c r="J6" s="53">
        <f t="shared" si="4"/>
        <v>0</v>
      </c>
      <c r="K6" s="53">
        <f t="shared" si="5"/>
        <v>-4895000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975</v>
      </c>
      <c r="H7" s="36">
        <f t="shared" si="2"/>
        <v>0</v>
      </c>
      <c r="I7" s="11">
        <f t="shared" si="3"/>
        <v>-1170487500</v>
      </c>
      <c r="J7" s="53">
        <f t="shared" si="4"/>
        <v>0</v>
      </c>
      <c r="K7" s="53">
        <f t="shared" si="5"/>
        <v>-1170487500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974</v>
      </c>
      <c r="H8" s="36">
        <f t="shared" si="2"/>
        <v>0</v>
      </c>
      <c r="I8" s="11">
        <f t="shared" si="3"/>
        <v>-194800000</v>
      </c>
      <c r="J8" s="53">
        <f t="shared" si="4"/>
        <v>0</v>
      </c>
      <c r="K8" s="53">
        <f t="shared" si="5"/>
        <v>-194800000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972</v>
      </c>
      <c r="H9" s="36">
        <f t="shared" si="2"/>
        <v>0</v>
      </c>
      <c r="I9" s="11">
        <f t="shared" si="3"/>
        <v>-685746000</v>
      </c>
      <c r="J9" s="53">
        <f t="shared" si="4"/>
        <v>0</v>
      </c>
      <c r="K9" s="53">
        <f t="shared" si="5"/>
        <v>-685746000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963</v>
      </c>
      <c r="H10" s="36">
        <f t="shared" si="2"/>
        <v>0</v>
      </c>
      <c r="I10" s="11">
        <f t="shared" si="3"/>
        <v>-192600000</v>
      </c>
      <c r="J10" s="53">
        <f t="shared" si="4"/>
        <v>0</v>
      </c>
      <c r="K10" s="53">
        <f t="shared" si="5"/>
        <v>-192600000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963</v>
      </c>
      <c r="H11" s="36">
        <f t="shared" si="2"/>
        <v>1</v>
      </c>
      <c r="I11" s="11">
        <f t="shared" si="3"/>
        <v>962000000</v>
      </c>
      <c r="J11" s="53">
        <f t="shared" si="4"/>
        <v>0</v>
      </c>
      <c r="K11" s="53">
        <f t="shared" si="5"/>
        <v>962000000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959</v>
      </c>
      <c r="H12" s="36">
        <f t="shared" si="2"/>
        <v>0</v>
      </c>
      <c r="I12" s="11">
        <f t="shared" si="3"/>
        <v>-287700000</v>
      </c>
      <c r="J12" s="53">
        <f t="shared" si="4"/>
        <v>0</v>
      </c>
      <c r="K12" s="53">
        <f t="shared" si="5"/>
        <v>-287700000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954</v>
      </c>
      <c r="H13" s="36">
        <f t="shared" si="2"/>
        <v>0</v>
      </c>
      <c r="I13" s="11">
        <f t="shared" si="3"/>
        <v>-59148000</v>
      </c>
      <c r="J13" s="53">
        <f t="shared" si="4"/>
        <v>0</v>
      </c>
      <c r="K13" s="53">
        <f t="shared" si="5"/>
        <v>-59148000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954</v>
      </c>
      <c r="H14" s="36">
        <f t="shared" si="2"/>
        <v>1</v>
      </c>
      <c r="I14" s="11">
        <f t="shared" si="3"/>
        <v>1906000000</v>
      </c>
      <c r="J14" s="53">
        <f t="shared" si="4"/>
        <v>0</v>
      </c>
      <c r="K14" s="53">
        <f t="shared" si="5"/>
        <v>1906000000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953</v>
      </c>
      <c r="H15" s="36">
        <f t="shared" si="2"/>
        <v>1</v>
      </c>
      <c r="I15" s="11">
        <f t="shared" si="3"/>
        <v>1713600000</v>
      </c>
      <c r="J15" s="53">
        <f t="shared" si="4"/>
        <v>0</v>
      </c>
      <c r="K15" s="53">
        <f t="shared" si="5"/>
        <v>1713600000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953</v>
      </c>
      <c r="H16" s="36">
        <f t="shared" si="2"/>
        <v>0</v>
      </c>
      <c r="I16" s="11">
        <f t="shared" si="3"/>
        <v>-190600000</v>
      </c>
      <c r="J16" s="53">
        <f t="shared" si="4"/>
        <v>0</v>
      </c>
      <c r="K16" s="53">
        <f t="shared" si="5"/>
        <v>-190600000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949</v>
      </c>
      <c r="H17" s="36">
        <f t="shared" si="2"/>
        <v>0</v>
      </c>
      <c r="I17" s="11">
        <f t="shared" si="3"/>
        <v>-1898000000</v>
      </c>
      <c r="J17" s="53">
        <f t="shared" si="4"/>
        <v>0</v>
      </c>
      <c r="K17" s="53">
        <f t="shared" si="5"/>
        <v>-1898000000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948</v>
      </c>
      <c r="H18" s="36">
        <f t="shared" si="2"/>
        <v>0</v>
      </c>
      <c r="I18" s="11">
        <f t="shared" si="3"/>
        <v>-284400000</v>
      </c>
      <c r="J18" s="53">
        <f t="shared" si="4"/>
        <v>0</v>
      </c>
      <c r="K18" s="53">
        <f t="shared" si="5"/>
        <v>-284400000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947</v>
      </c>
      <c r="H19" s="36">
        <f t="shared" si="2"/>
        <v>0</v>
      </c>
      <c r="I19" s="11">
        <f t="shared" si="3"/>
        <v>-189400000</v>
      </c>
      <c r="J19" s="53">
        <f t="shared" si="4"/>
        <v>0</v>
      </c>
      <c r="K19" s="53">
        <f t="shared" si="5"/>
        <v>-189400000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945</v>
      </c>
      <c r="H20" s="36">
        <f t="shared" si="2"/>
        <v>1</v>
      </c>
      <c r="I20" s="11">
        <f t="shared" si="3"/>
        <v>255908016</v>
      </c>
      <c r="J20" s="53">
        <f t="shared" si="4"/>
        <v>139194688</v>
      </c>
      <c r="K20" s="53">
        <f t="shared" si="5"/>
        <v>116713328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943</v>
      </c>
      <c r="H21" s="36">
        <f t="shared" si="2"/>
        <v>0</v>
      </c>
      <c r="I21" s="11">
        <f t="shared" si="3"/>
        <v>-1419875100</v>
      </c>
      <c r="J21" s="53">
        <f t="shared" si="4"/>
        <v>0</v>
      </c>
      <c r="K21" s="53">
        <f t="shared" si="5"/>
        <v>-1419875100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940</v>
      </c>
      <c r="H22" s="36">
        <f t="shared" si="2"/>
        <v>1</v>
      </c>
      <c r="I22" s="11">
        <f t="shared" si="3"/>
        <v>2817000000</v>
      </c>
      <c r="J22" s="53">
        <f t="shared" si="4"/>
        <v>0</v>
      </c>
      <c r="K22" s="53">
        <f t="shared" si="5"/>
        <v>2817000000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939</v>
      </c>
      <c r="H23" s="36">
        <f t="shared" si="2"/>
        <v>1</v>
      </c>
      <c r="I23" s="11">
        <f t="shared" si="3"/>
        <v>938000000</v>
      </c>
      <c r="J23" s="53">
        <f t="shared" si="4"/>
        <v>0</v>
      </c>
      <c r="K23" s="53">
        <f t="shared" si="5"/>
        <v>938000000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938</v>
      </c>
      <c r="H24" s="36">
        <f t="shared" si="2"/>
        <v>0</v>
      </c>
      <c r="I24" s="11">
        <f t="shared" si="3"/>
        <v>-2814844200</v>
      </c>
      <c r="J24" s="53">
        <f t="shared" si="4"/>
        <v>0</v>
      </c>
      <c r="K24" s="53">
        <f t="shared" si="5"/>
        <v>-2814844200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923</v>
      </c>
      <c r="H25" s="36">
        <f t="shared" si="2"/>
        <v>1</v>
      </c>
      <c r="I25" s="11">
        <f t="shared" si="3"/>
        <v>1383000000</v>
      </c>
      <c r="J25" s="53">
        <f t="shared" si="4"/>
        <v>0</v>
      </c>
      <c r="K25" s="53">
        <f t="shared" si="5"/>
        <v>1383000000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915</v>
      </c>
      <c r="H26" s="36">
        <f t="shared" si="2"/>
        <v>0</v>
      </c>
      <c r="I26" s="11">
        <f t="shared" si="3"/>
        <v>-150060000</v>
      </c>
      <c r="J26" s="53">
        <f t="shared" si="4"/>
        <v>0</v>
      </c>
      <c r="K26" s="53">
        <f t="shared" si="5"/>
        <v>-150060000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914</v>
      </c>
      <c r="H27" s="36">
        <f t="shared" si="2"/>
        <v>1</v>
      </c>
      <c r="I27" s="11">
        <f t="shared" si="3"/>
        <v>182045809</v>
      </c>
      <c r="J27" s="53">
        <f t="shared" si="4"/>
        <v>98068069</v>
      </c>
      <c r="K27" s="53">
        <f t="shared" si="5"/>
        <v>83977740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912</v>
      </c>
      <c r="H28" s="36">
        <f t="shared" si="2"/>
        <v>0</v>
      </c>
      <c r="I28" s="11">
        <f t="shared" si="3"/>
        <v>-201552000</v>
      </c>
      <c r="J28" s="53">
        <f t="shared" si="4"/>
        <v>-201552000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912</v>
      </c>
      <c r="H29" s="36">
        <f t="shared" si="2"/>
        <v>0</v>
      </c>
      <c r="I29" s="11">
        <f t="shared" si="3"/>
        <v>-456456000</v>
      </c>
      <c r="J29" s="53">
        <f t="shared" si="4"/>
        <v>0</v>
      </c>
      <c r="K29" s="53">
        <f t="shared" si="5"/>
        <v>-456456000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912</v>
      </c>
      <c r="H30" s="36">
        <f t="shared" si="2"/>
        <v>0</v>
      </c>
      <c r="I30" s="11">
        <f t="shared" si="3"/>
        <v>-13680000000</v>
      </c>
      <c r="J30" s="53">
        <f t="shared" si="4"/>
        <v>-13680000000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895</v>
      </c>
      <c r="H31" s="36">
        <f t="shared" si="2"/>
        <v>0</v>
      </c>
      <c r="I31" s="11">
        <f t="shared" si="3"/>
        <v>-2694755500</v>
      </c>
      <c r="J31" s="53">
        <f t="shared" si="4"/>
        <v>0</v>
      </c>
      <c r="K31" s="53">
        <f t="shared" si="5"/>
        <v>-2694755500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893</v>
      </c>
      <c r="H32" s="36">
        <f t="shared" si="2"/>
        <v>0</v>
      </c>
      <c r="I32" s="11">
        <f t="shared" si="3"/>
        <v>-2684268700</v>
      </c>
      <c r="J32" s="53">
        <f t="shared" si="4"/>
        <v>0</v>
      </c>
      <c r="K32" s="53">
        <f t="shared" si="5"/>
        <v>-2684268700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892</v>
      </c>
      <c r="H33" s="36">
        <f t="shared" si="2"/>
        <v>0</v>
      </c>
      <c r="I33" s="11">
        <f t="shared" si="3"/>
        <v>-798786000</v>
      </c>
      <c r="J33" s="53">
        <f t="shared" si="4"/>
        <v>0</v>
      </c>
      <c r="K33" s="53">
        <f t="shared" si="5"/>
        <v>-798786000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892</v>
      </c>
      <c r="H34" s="36">
        <f t="shared" si="2"/>
        <v>0</v>
      </c>
      <c r="I34" s="11">
        <f t="shared" si="3"/>
        <v>0</v>
      </c>
      <c r="J34" s="53">
        <f t="shared" si="4"/>
        <v>892000000</v>
      </c>
      <c r="K34" s="53">
        <f t="shared" si="5"/>
        <v>-892000000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883</v>
      </c>
      <c r="H35" s="36">
        <f t="shared" si="2"/>
        <v>1</v>
      </c>
      <c r="I35" s="11">
        <f t="shared" si="3"/>
        <v>46280304</v>
      </c>
      <c r="J35" s="53">
        <f t="shared" si="4"/>
        <v>-19106766</v>
      </c>
      <c r="K35" s="53">
        <f t="shared" si="5"/>
        <v>65387070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883</v>
      </c>
      <c r="H36" s="36">
        <f t="shared" si="2"/>
        <v>0</v>
      </c>
      <c r="I36" s="11">
        <f t="shared" si="3"/>
        <v>0</v>
      </c>
      <c r="J36" s="53">
        <f t="shared" si="4"/>
        <v>19128429</v>
      </c>
      <c r="K36" s="53">
        <f t="shared" si="5"/>
        <v>-19128429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873</v>
      </c>
      <c r="H37" s="36">
        <f t="shared" si="2"/>
        <v>0</v>
      </c>
      <c r="I37" s="11">
        <f t="shared" si="3"/>
        <v>-48015000</v>
      </c>
      <c r="J37" s="53">
        <f t="shared" si="4"/>
        <v>0</v>
      </c>
      <c r="K37" s="53">
        <f t="shared" si="5"/>
        <v>-48015000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872</v>
      </c>
      <c r="H38" s="36">
        <f t="shared" si="2"/>
        <v>1</v>
      </c>
      <c r="I38" s="11">
        <f t="shared" si="3"/>
        <v>2613000000</v>
      </c>
      <c r="J38" s="53">
        <f t="shared" si="4"/>
        <v>2613000000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871</v>
      </c>
      <c r="H39" s="36">
        <f t="shared" si="2"/>
        <v>1</v>
      </c>
      <c r="I39" s="11">
        <f t="shared" si="3"/>
        <v>2175000000</v>
      </c>
      <c r="J39" s="53">
        <f t="shared" si="4"/>
        <v>2175000000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871</v>
      </c>
      <c r="H40" s="36">
        <f t="shared" si="2"/>
        <v>0</v>
      </c>
      <c r="I40" s="11">
        <f t="shared" si="3"/>
        <v>-43550000</v>
      </c>
      <c r="J40" s="53">
        <f t="shared" si="4"/>
        <v>0</v>
      </c>
      <c r="K40" s="53">
        <f t="shared" si="5"/>
        <v>-43550000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871</v>
      </c>
      <c r="H41" s="36">
        <f t="shared" si="2"/>
        <v>1</v>
      </c>
      <c r="I41" s="11">
        <f t="shared" si="3"/>
        <v>2610000000</v>
      </c>
      <c r="J41" s="53">
        <f t="shared" si="4"/>
        <v>0</v>
      </c>
      <c r="K41" s="53">
        <f t="shared" si="5"/>
        <v>2610000000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868</v>
      </c>
      <c r="H42" s="36">
        <f t="shared" si="2"/>
        <v>0</v>
      </c>
      <c r="I42" s="11">
        <f t="shared" si="3"/>
        <v>-77425600</v>
      </c>
      <c r="J42" s="53">
        <f t="shared" si="4"/>
        <v>0</v>
      </c>
      <c r="K42" s="53">
        <f t="shared" si="5"/>
        <v>-77425600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864</v>
      </c>
      <c r="H43" s="36">
        <f t="shared" si="2"/>
        <v>0</v>
      </c>
      <c r="I43" s="11">
        <f t="shared" si="3"/>
        <v>-172800000</v>
      </c>
      <c r="J43" s="53">
        <f t="shared" si="4"/>
        <v>0</v>
      </c>
      <c r="K43" s="53">
        <f t="shared" si="5"/>
        <v>-172800000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862</v>
      </c>
      <c r="H44" s="36">
        <f t="shared" si="2"/>
        <v>0</v>
      </c>
      <c r="I44" s="11">
        <f t="shared" si="3"/>
        <v>-172400000</v>
      </c>
      <c r="J44" s="53">
        <f t="shared" si="4"/>
        <v>0</v>
      </c>
      <c r="K44" s="53">
        <f t="shared" si="5"/>
        <v>-172400000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862</v>
      </c>
      <c r="H45" s="36">
        <f t="shared" si="2"/>
        <v>0</v>
      </c>
      <c r="I45" s="11">
        <f t="shared" si="3"/>
        <v>-482720000</v>
      </c>
      <c r="J45" s="53">
        <f t="shared" si="4"/>
        <v>0</v>
      </c>
      <c r="K45" s="53">
        <f t="shared" si="5"/>
        <v>-482720000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858</v>
      </c>
      <c r="H46" s="36">
        <f t="shared" si="2"/>
        <v>0</v>
      </c>
      <c r="I46" s="11">
        <f t="shared" si="3"/>
        <v>-605319000</v>
      </c>
      <c r="J46" s="53">
        <f t="shared" si="4"/>
        <v>0</v>
      </c>
      <c r="K46" s="53">
        <f t="shared" si="5"/>
        <v>-605319000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852</v>
      </c>
      <c r="H47" s="36">
        <f t="shared" si="2"/>
        <v>1</v>
      </c>
      <c r="I47" s="11">
        <f t="shared" si="3"/>
        <v>35064604</v>
      </c>
      <c r="J47" s="53">
        <f t="shared" si="4"/>
        <v>5712763</v>
      </c>
      <c r="K47" s="53">
        <f t="shared" si="5"/>
        <v>29351841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852</v>
      </c>
      <c r="H48" s="36">
        <f t="shared" si="2"/>
        <v>1</v>
      </c>
      <c r="I48" s="11">
        <f t="shared" si="3"/>
        <v>1450699700</v>
      </c>
      <c r="J48" s="53">
        <f t="shared" si="4"/>
        <v>0</v>
      </c>
      <c r="K48" s="53">
        <f t="shared" si="5"/>
        <v>1450699700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843</v>
      </c>
      <c r="H49" s="36">
        <f t="shared" si="2"/>
        <v>0</v>
      </c>
      <c r="I49" s="11">
        <f t="shared" si="3"/>
        <v>-130665000</v>
      </c>
      <c r="J49" s="53">
        <f t="shared" si="4"/>
        <v>0</v>
      </c>
      <c r="K49" s="53">
        <f t="shared" si="5"/>
        <v>-130665000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843</v>
      </c>
      <c r="H50" s="36">
        <f t="shared" si="2"/>
        <v>0</v>
      </c>
      <c r="I50" s="11">
        <f t="shared" si="3"/>
        <v>-116334000</v>
      </c>
      <c r="J50" s="53">
        <f t="shared" si="4"/>
        <v>0</v>
      </c>
      <c r="K50" s="53">
        <f t="shared" si="5"/>
        <v>-116334000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843</v>
      </c>
      <c r="H51" s="36">
        <f t="shared" si="2"/>
        <v>0</v>
      </c>
      <c r="I51" s="11">
        <f t="shared" si="3"/>
        <v>-623820000</v>
      </c>
      <c r="J51" s="53">
        <f t="shared" si="4"/>
        <v>0</v>
      </c>
      <c r="K51" s="53">
        <f t="shared" si="5"/>
        <v>-623820000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843</v>
      </c>
      <c r="H52" s="36">
        <f t="shared" si="2"/>
        <v>0</v>
      </c>
      <c r="I52" s="11">
        <f t="shared" si="3"/>
        <v>-168600000</v>
      </c>
      <c r="J52" s="53">
        <f t="shared" si="4"/>
        <v>0</v>
      </c>
      <c r="K52" s="53">
        <f t="shared" si="5"/>
        <v>-168600000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842</v>
      </c>
      <c r="H53" s="36">
        <f t="shared" si="2"/>
        <v>0</v>
      </c>
      <c r="I53" s="11">
        <f t="shared" si="3"/>
        <v>-888310000</v>
      </c>
      <c r="J53" s="53">
        <f t="shared" si="4"/>
        <v>0</v>
      </c>
      <c r="K53" s="53">
        <f t="shared" si="5"/>
        <v>-888310000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842</v>
      </c>
      <c r="H54" s="36">
        <f t="shared" si="2"/>
        <v>0</v>
      </c>
      <c r="I54" s="11">
        <f t="shared" si="3"/>
        <v>-168400000</v>
      </c>
      <c r="J54" s="53">
        <f t="shared" si="4"/>
        <v>0</v>
      </c>
      <c r="K54" s="53">
        <f t="shared" si="5"/>
        <v>-168400000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842</v>
      </c>
      <c r="H55" s="36">
        <f t="shared" si="2"/>
        <v>0</v>
      </c>
      <c r="I55" s="11">
        <f t="shared" si="3"/>
        <v>-842421000</v>
      </c>
      <c r="J55" s="53">
        <f t="shared" si="4"/>
        <v>0</v>
      </c>
      <c r="K55" s="53">
        <f t="shared" si="5"/>
        <v>-842421000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842</v>
      </c>
      <c r="H56" s="36">
        <f t="shared" si="2"/>
        <v>0</v>
      </c>
      <c r="I56" s="11">
        <f t="shared" si="3"/>
        <v>-31996000</v>
      </c>
      <c r="J56" s="53">
        <f t="shared" si="4"/>
        <v>0</v>
      </c>
      <c r="K56" s="53">
        <f t="shared" si="5"/>
        <v>-31996000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842</v>
      </c>
      <c r="H57" s="36">
        <f t="shared" si="2"/>
        <v>0</v>
      </c>
      <c r="I57" s="11">
        <f t="shared" si="3"/>
        <v>-88410000</v>
      </c>
      <c r="J57" s="53">
        <f t="shared" si="4"/>
        <v>0</v>
      </c>
      <c r="K57" s="53">
        <f t="shared" si="5"/>
        <v>-88410000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842</v>
      </c>
      <c r="H58" s="36">
        <f t="shared" si="2"/>
        <v>0</v>
      </c>
      <c r="I58" s="11">
        <f t="shared" si="3"/>
        <v>-50520000</v>
      </c>
      <c r="J58" s="53">
        <f t="shared" si="4"/>
        <v>0</v>
      </c>
      <c r="K58" s="53">
        <f t="shared" si="5"/>
        <v>-50520000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839</v>
      </c>
      <c r="H59" s="36">
        <f t="shared" si="2"/>
        <v>1</v>
      </c>
      <c r="I59" s="11">
        <f t="shared" si="3"/>
        <v>838000000</v>
      </c>
      <c r="J59" s="53">
        <f t="shared" si="4"/>
        <v>838000000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838</v>
      </c>
      <c r="H60" s="36">
        <f t="shared" si="2"/>
        <v>1</v>
      </c>
      <c r="I60" s="11">
        <f t="shared" si="3"/>
        <v>2929500000</v>
      </c>
      <c r="J60" s="53">
        <f t="shared" si="4"/>
        <v>2929500000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836</v>
      </c>
      <c r="H61" s="36">
        <f t="shared" si="2"/>
        <v>1</v>
      </c>
      <c r="I61" s="11">
        <f t="shared" si="3"/>
        <v>835000000</v>
      </c>
      <c r="J61" s="53">
        <f t="shared" si="4"/>
        <v>835000000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836</v>
      </c>
      <c r="H62" s="36">
        <f t="shared" si="2"/>
        <v>1</v>
      </c>
      <c r="I62" s="11">
        <f t="shared" si="3"/>
        <v>2505000000</v>
      </c>
      <c r="J62" s="53">
        <f t="shared" si="4"/>
        <v>2505000000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834</v>
      </c>
      <c r="H63" s="36">
        <f t="shared" si="2"/>
        <v>0</v>
      </c>
      <c r="I63" s="11">
        <f t="shared" si="3"/>
        <v>-166800000</v>
      </c>
      <c r="J63" s="53">
        <f t="shared" si="4"/>
        <v>0</v>
      </c>
      <c r="K63" s="53">
        <f t="shared" si="5"/>
        <v>-166800000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829</v>
      </c>
      <c r="H64" s="36">
        <f t="shared" si="2"/>
        <v>0</v>
      </c>
      <c r="I64" s="11">
        <f t="shared" si="3"/>
        <v>-41450000</v>
      </c>
      <c r="J64" s="53">
        <f t="shared" si="4"/>
        <v>0</v>
      </c>
      <c r="K64" s="53">
        <f t="shared" si="5"/>
        <v>-41450000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825</v>
      </c>
      <c r="H65" s="36">
        <f t="shared" si="2"/>
        <v>0</v>
      </c>
      <c r="I65" s="11">
        <f t="shared" si="3"/>
        <v>-165000000</v>
      </c>
      <c r="J65" s="53">
        <f t="shared" si="4"/>
        <v>0</v>
      </c>
      <c r="K65" s="53">
        <f t="shared" si="5"/>
        <v>-165000000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822</v>
      </c>
      <c r="H66" s="36">
        <f t="shared" si="2"/>
        <v>0</v>
      </c>
      <c r="I66" s="11">
        <f t="shared" si="3"/>
        <v>-139740000</v>
      </c>
      <c r="J66" s="53">
        <f t="shared" si="4"/>
        <v>0</v>
      </c>
      <c r="K66" s="53">
        <f t="shared" si="5"/>
        <v>-139740000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821</v>
      </c>
      <c r="H67" s="36">
        <f t="shared" ref="H67:H131" si="8">IF(B67&gt;0,1,0)</f>
        <v>1</v>
      </c>
      <c r="I67" s="11">
        <f t="shared" ref="I67:I119" si="9">B67*(G67-H67)</f>
        <v>74886500</v>
      </c>
      <c r="J67" s="53">
        <f t="shared" ref="J67:J131" si="10">C67*(G67-H67)</f>
        <v>53892860</v>
      </c>
      <c r="K67" s="53">
        <f t="shared" ref="K67:K131" si="11">D67*(G67-H67)</f>
        <v>20993640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803</v>
      </c>
      <c r="H68" s="36">
        <f t="shared" si="8"/>
        <v>0</v>
      </c>
      <c r="I68" s="11">
        <f t="shared" si="9"/>
        <v>-116435000</v>
      </c>
      <c r="J68" s="53">
        <f t="shared" si="10"/>
        <v>0</v>
      </c>
      <c r="K68" s="53">
        <f t="shared" si="11"/>
        <v>-116435000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796</v>
      </c>
      <c r="H69" s="36">
        <f t="shared" si="8"/>
        <v>1</v>
      </c>
      <c r="I69" s="11">
        <f t="shared" si="9"/>
        <v>779100000</v>
      </c>
      <c r="J69" s="53">
        <f t="shared" si="10"/>
        <v>0</v>
      </c>
      <c r="K69" s="53">
        <f t="shared" si="11"/>
        <v>779100000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793</v>
      </c>
      <c r="H70" s="36">
        <f t="shared" si="8"/>
        <v>0</v>
      </c>
      <c r="I70" s="11">
        <f t="shared" si="9"/>
        <v>-36478000</v>
      </c>
      <c r="J70" s="53">
        <f t="shared" si="10"/>
        <v>0</v>
      </c>
      <c r="K70" s="53">
        <f t="shared" si="11"/>
        <v>-36478000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791</v>
      </c>
      <c r="H71" s="36">
        <f t="shared" si="8"/>
        <v>1</v>
      </c>
      <c r="I71" s="11">
        <f t="shared" si="9"/>
        <v>91117020</v>
      </c>
      <c r="J71" s="53">
        <f t="shared" si="10"/>
        <v>82011480</v>
      </c>
      <c r="K71" s="53">
        <f t="shared" si="11"/>
        <v>9105540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790</v>
      </c>
      <c r="H72" s="36">
        <f t="shared" si="8"/>
        <v>0</v>
      </c>
      <c r="I72" s="11">
        <f t="shared" si="9"/>
        <v>-120055510</v>
      </c>
      <c r="J72" s="53">
        <f t="shared" si="10"/>
        <v>0</v>
      </c>
      <c r="K72" s="53">
        <f t="shared" si="11"/>
        <v>-120055510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789</v>
      </c>
      <c r="H73" s="36">
        <f t="shared" si="8"/>
        <v>0</v>
      </c>
      <c r="I73" s="11">
        <f t="shared" si="9"/>
        <v>-635539500</v>
      </c>
      <c r="J73" s="53">
        <f t="shared" si="10"/>
        <v>0</v>
      </c>
      <c r="K73" s="53">
        <f t="shared" si="11"/>
        <v>-635539500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782</v>
      </c>
      <c r="H74" s="36">
        <f t="shared" si="8"/>
        <v>1</v>
      </c>
      <c r="I74" s="11">
        <f t="shared" si="9"/>
        <v>5463095000</v>
      </c>
      <c r="J74" s="53">
        <f t="shared" si="10"/>
        <v>0</v>
      </c>
      <c r="K74" s="53">
        <f t="shared" si="11"/>
        <v>5463095000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781</v>
      </c>
      <c r="H75" s="36">
        <f t="shared" si="8"/>
        <v>1</v>
      </c>
      <c r="I75" s="11">
        <f t="shared" si="9"/>
        <v>2340000000</v>
      </c>
      <c r="J75" s="53">
        <f t="shared" si="10"/>
        <v>0</v>
      </c>
      <c r="K75" s="53">
        <f t="shared" si="11"/>
        <v>2340000000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779</v>
      </c>
      <c r="H76" s="36">
        <f t="shared" si="8"/>
        <v>1</v>
      </c>
      <c r="I76" s="11">
        <f t="shared" si="9"/>
        <v>2334000000</v>
      </c>
      <c r="J76" s="53">
        <f t="shared" si="10"/>
        <v>0</v>
      </c>
      <c r="K76" s="53">
        <f t="shared" si="11"/>
        <v>2334000000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778</v>
      </c>
      <c r="H77" s="36">
        <f t="shared" si="8"/>
        <v>1</v>
      </c>
      <c r="I77" s="11">
        <f t="shared" si="9"/>
        <v>2331000000</v>
      </c>
      <c r="J77" s="53">
        <f t="shared" si="10"/>
        <v>0</v>
      </c>
      <c r="K77" s="53">
        <f t="shared" si="11"/>
        <v>2331000000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777</v>
      </c>
      <c r="H78" s="36">
        <f t="shared" si="8"/>
        <v>0</v>
      </c>
      <c r="I78" s="11">
        <f t="shared" si="9"/>
        <v>-2486400000</v>
      </c>
      <c r="J78" s="53">
        <f t="shared" si="10"/>
        <v>-2486400000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776</v>
      </c>
      <c r="H79" s="36">
        <f t="shared" si="8"/>
        <v>0</v>
      </c>
      <c r="I79" s="11">
        <f t="shared" si="9"/>
        <v>-620800000</v>
      </c>
      <c r="J79" s="53">
        <f t="shared" si="10"/>
        <v>-620800000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775</v>
      </c>
      <c r="H80" s="36">
        <f t="shared" si="8"/>
        <v>0</v>
      </c>
      <c r="I80" s="11">
        <f t="shared" si="9"/>
        <v>-37504575</v>
      </c>
      <c r="J80" s="53">
        <f t="shared" si="10"/>
        <v>0</v>
      </c>
      <c r="K80" s="53">
        <f t="shared" si="11"/>
        <v>-37504575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774</v>
      </c>
      <c r="H81" s="36">
        <f t="shared" si="8"/>
        <v>0</v>
      </c>
      <c r="I81" s="11">
        <f t="shared" si="9"/>
        <v>-108360000</v>
      </c>
      <c r="J81" s="53">
        <f t="shared" si="10"/>
        <v>0</v>
      </c>
      <c r="K81" s="53">
        <f t="shared" si="11"/>
        <v>-108360000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773</v>
      </c>
      <c r="H82" s="36">
        <f t="shared" si="8"/>
        <v>0</v>
      </c>
      <c r="I82" s="11">
        <f t="shared" si="9"/>
        <v>-193250000</v>
      </c>
      <c r="J82" s="53">
        <f t="shared" si="10"/>
        <v>0</v>
      </c>
      <c r="K82" s="53">
        <f t="shared" si="11"/>
        <v>-193250000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772</v>
      </c>
      <c r="H83" s="36">
        <f t="shared" si="8"/>
        <v>0</v>
      </c>
      <c r="I83" s="11">
        <f t="shared" si="9"/>
        <v>-154400000</v>
      </c>
      <c r="J83" s="53">
        <f t="shared" si="10"/>
        <v>0</v>
      </c>
      <c r="K83" s="53">
        <f t="shared" si="11"/>
        <v>-154400000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769</v>
      </c>
      <c r="H84" s="36">
        <f t="shared" si="8"/>
        <v>1</v>
      </c>
      <c r="I84" s="11">
        <f t="shared" si="9"/>
        <v>1255833600</v>
      </c>
      <c r="J84" s="53">
        <f t="shared" si="10"/>
        <v>0</v>
      </c>
      <c r="K84" s="53">
        <f t="shared" si="11"/>
        <v>1255833600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765</v>
      </c>
      <c r="H85" s="36">
        <f t="shared" si="8"/>
        <v>1</v>
      </c>
      <c r="I85" s="11">
        <f t="shared" si="9"/>
        <v>1910000000</v>
      </c>
      <c r="J85" s="53">
        <f t="shared" si="10"/>
        <v>0</v>
      </c>
      <c r="K85" s="53">
        <f t="shared" si="11"/>
        <v>1910000000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761</v>
      </c>
      <c r="H86" s="36">
        <f t="shared" si="8"/>
        <v>1</v>
      </c>
      <c r="I86" s="11">
        <f t="shared" si="9"/>
        <v>141588000</v>
      </c>
      <c r="J86" s="53">
        <f t="shared" si="10"/>
        <v>64562000</v>
      </c>
      <c r="K86" s="53">
        <f t="shared" si="11"/>
        <v>77026000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758</v>
      </c>
      <c r="H87" s="36">
        <f t="shared" si="8"/>
        <v>0</v>
      </c>
      <c r="I87" s="11">
        <f t="shared" si="9"/>
        <v>-151600000</v>
      </c>
      <c r="J87" s="53">
        <f t="shared" si="10"/>
        <v>0</v>
      </c>
      <c r="K87" s="53">
        <f t="shared" si="11"/>
        <v>-151600000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757</v>
      </c>
      <c r="H88" s="36">
        <f t="shared" si="8"/>
        <v>0</v>
      </c>
      <c r="I88" s="11">
        <f t="shared" si="9"/>
        <v>-89326000</v>
      </c>
      <c r="J88" s="53">
        <f t="shared" si="10"/>
        <v>-52233000</v>
      </c>
      <c r="K88" s="53">
        <f t="shared" si="11"/>
        <v>-37093000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749</v>
      </c>
      <c r="H89" s="36">
        <f t="shared" si="8"/>
        <v>0</v>
      </c>
      <c r="I89" s="11">
        <f t="shared" si="9"/>
        <v>-2397474100</v>
      </c>
      <c r="J89" s="53">
        <f t="shared" si="10"/>
        <v>0</v>
      </c>
      <c r="K89" s="53">
        <f t="shared" si="11"/>
        <v>-2397474100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748</v>
      </c>
      <c r="H90" s="36">
        <f t="shared" si="8"/>
        <v>0</v>
      </c>
      <c r="I90" s="11">
        <f t="shared" si="9"/>
        <v>-2394273200</v>
      </c>
      <c r="J90" s="53">
        <f t="shared" si="10"/>
        <v>0</v>
      </c>
      <c r="K90" s="53">
        <f t="shared" si="11"/>
        <v>-2394273200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747</v>
      </c>
      <c r="H91" s="36">
        <f t="shared" si="8"/>
        <v>0</v>
      </c>
      <c r="I91" s="11">
        <f t="shared" si="9"/>
        <v>-2391072300</v>
      </c>
      <c r="J91" s="53">
        <f t="shared" si="10"/>
        <v>0</v>
      </c>
      <c r="K91" s="53">
        <f t="shared" si="11"/>
        <v>-2391072300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746</v>
      </c>
      <c r="H92" s="36">
        <f t="shared" si="8"/>
        <v>0</v>
      </c>
      <c r="I92" s="11">
        <f t="shared" si="9"/>
        <v>-2387871400</v>
      </c>
      <c r="J92" s="53">
        <f t="shared" si="10"/>
        <v>0</v>
      </c>
      <c r="K92" s="53">
        <f t="shared" si="11"/>
        <v>-2387871400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745</v>
      </c>
      <c r="H93" s="36">
        <f t="shared" si="8"/>
        <v>0</v>
      </c>
      <c r="I93" s="11">
        <f t="shared" si="9"/>
        <v>-2384670500</v>
      </c>
      <c r="J93" s="53">
        <f t="shared" si="10"/>
        <v>0</v>
      </c>
      <c r="K93" s="53">
        <f t="shared" si="11"/>
        <v>-2384670500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744</v>
      </c>
      <c r="H94" s="36">
        <f t="shared" si="8"/>
        <v>0</v>
      </c>
      <c r="I94" s="11">
        <f t="shared" si="9"/>
        <v>-2381469600</v>
      </c>
      <c r="J94" s="53">
        <f t="shared" si="10"/>
        <v>0</v>
      </c>
      <c r="K94" s="53">
        <f t="shared" si="11"/>
        <v>-2381469600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742</v>
      </c>
      <c r="H95" s="36">
        <f t="shared" si="8"/>
        <v>0</v>
      </c>
      <c r="I95" s="11">
        <f t="shared" si="9"/>
        <v>-887874232</v>
      </c>
      <c r="J95" s="53">
        <f t="shared" si="10"/>
        <v>0</v>
      </c>
      <c r="K95" s="53">
        <f t="shared" si="11"/>
        <v>-887874232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732</v>
      </c>
      <c r="H96" s="36">
        <f t="shared" si="8"/>
        <v>0</v>
      </c>
      <c r="I96" s="11">
        <f t="shared" si="9"/>
        <v>-146400000</v>
      </c>
      <c r="J96" s="53">
        <f t="shared" si="10"/>
        <v>0</v>
      </c>
      <c r="K96" s="53">
        <f t="shared" si="11"/>
        <v>-146400000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731</v>
      </c>
      <c r="H97" s="36">
        <f t="shared" si="8"/>
        <v>1</v>
      </c>
      <c r="I97" s="11">
        <f t="shared" si="9"/>
        <v>116477340</v>
      </c>
      <c r="J97" s="53">
        <f t="shared" si="10"/>
        <v>50315980</v>
      </c>
      <c r="K97" s="53">
        <f t="shared" si="11"/>
        <v>66161360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726</v>
      </c>
      <c r="H98" s="36">
        <f t="shared" si="8"/>
        <v>1</v>
      </c>
      <c r="I98" s="11">
        <f t="shared" si="9"/>
        <v>82916800</v>
      </c>
      <c r="J98" s="53">
        <f t="shared" si="10"/>
        <v>0</v>
      </c>
      <c r="K98" s="53">
        <f t="shared" si="11"/>
        <v>82916800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723</v>
      </c>
      <c r="H99" s="36">
        <f t="shared" si="8"/>
        <v>0</v>
      </c>
      <c r="I99" s="11">
        <f t="shared" si="9"/>
        <v>-957975000</v>
      </c>
      <c r="J99" s="53">
        <f t="shared" si="10"/>
        <v>0</v>
      </c>
      <c r="K99" s="53">
        <f t="shared" si="11"/>
        <v>-957975000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718</v>
      </c>
      <c r="H100" s="36">
        <f t="shared" si="8"/>
        <v>1</v>
      </c>
      <c r="I100" s="11">
        <f t="shared" si="9"/>
        <v>950025000</v>
      </c>
      <c r="J100" s="53">
        <f t="shared" si="10"/>
        <v>0</v>
      </c>
      <c r="K100" s="53">
        <f t="shared" si="11"/>
        <v>950025000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701</v>
      </c>
      <c r="H101" s="36">
        <f t="shared" si="8"/>
        <v>1</v>
      </c>
      <c r="I101" s="11">
        <f t="shared" si="9"/>
        <v>46791500</v>
      </c>
      <c r="J101" s="53">
        <f t="shared" si="10"/>
        <v>46791500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698</v>
      </c>
      <c r="H102" s="36">
        <f t="shared" si="8"/>
        <v>1</v>
      </c>
      <c r="I102" s="11">
        <f t="shared" si="9"/>
        <v>2091000000</v>
      </c>
      <c r="J102" s="53">
        <f t="shared" si="10"/>
        <v>0</v>
      </c>
      <c r="K102" s="53">
        <f t="shared" si="11"/>
        <v>2091000000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691</v>
      </c>
      <c r="H103" s="36">
        <f t="shared" si="8"/>
        <v>0</v>
      </c>
      <c r="I103" s="11">
        <f t="shared" si="9"/>
        <v>-691000000</v>
      </c>
      <c r="J103" s="53">
        <f t="shared" si="10"/>
        <v>-691000000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681</v>
      </c>
      <c r="H104" s="36">
        <f t="shared" si="8"/>
        <v>1</v>
      </c>
      <c r="I104" s="11">
        <f t="shared" si="9"/>
        <v>2040000000</v>
      </c>
      <c r="J104" s="53">
        <f t="shared" si="10"/>
        <v>2040000000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680</v>
      </c>
      <c r="H105" s="36">
        <f t="shared" si="8"/>
        <v>1</v>
      </c>
      <c r="I105" s="11">
        <f t="shared" si="9"/>
        <v>760480000</v>
      </c>
      <c r="J105" s="53">
        <f t="shared" si="10"/>
        <v>760480000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680</v>
      </c>
      <c r="H106" s="36">
        <f t="shared" si="8"/>
        <v>0</v>
      </c>
      <c r="I106" s="11">
        <f t="shared" si="9"/>
        <v>-2040000000</v>
      </c>
      <c r="J106" s="53">
        <f t="shared" si="10"/>
        <v>0</v>
      </c>
      <c r="K106" s="53">
        <f t="shared" si="11"/>
        <v>-2040000000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671</v>
      </c>
      <c r="H107" s="36">
        <f t="shared" si="8"/>
        <v>1</v>
      </c>
      <c r="I107" s="11">
        <f t="shared" si="9"/>
        <v>60630980</v>
      </c>
      <c r="J107" s="53">
        <f t="shared" si="10"/>
        <v>50327050</v>
      </c>
      <c r="K107" s="53">
        <f t="shared" si="11"/>
        <v>10303930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669</v>
      </c>
      <c r="H108" s="36">
        <f t="shared" si="8"/>
        <v>0</v>
      </c>
      <c r="I108" s="11">
        <f t="shared" si="9"/>
        <v>-1137768300</v>
      </c>
      <c r="J108" s="53">
        <f t="shared" si="10"/>
        <v>0</v>
      </c>
      <c r="K108" s="53">
        <f t="shared" si="11"/>
        <v>-1137768300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665</v>
      </c>
      <c r="H109" s="36">
        <f t="shared" si="8"/>
        <v>0</v>
      </c>
      <c r="I109" s="11">
        <f t="shared" si="9"/>
        <v>-665332500</v>
      </c>
      <c r="J109" s="53">
        <f t="shared" si="10"/>
        <v>0</v>
      </c>
      <c r="K109" s="53">
        <f t="shared" si="11"/>
        <v>-665332500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662</v>
      </c>
      <c r="H110" s="36">
        <f t="shared" si="8"/>
        <v>1</v>
      </c>
      <c r="I110" s="11">
        <f t="shared" si="9"/>
        <v>13220000000</v>
      </c>
      <c r="J110" s="53">
        <f t="shared" si="10"/>
        <v>0</v>
      </c>
      <c r="K110" s="53">
        <f t="shared" si="11"/>
        <v>13220000000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642</v>
      </c>
      <c r="H111" s="36">
        <f t="shared" si="8"/>
        <v>1</v>
      </c>
      <c r="I111" s="11">
        <f t="shared" si="9"/>
        <v>111968598</v>
      </c>
      <c r="J111" s="53">
        <f t="shared" si="10"/>
        <v>55999683</v>
      </c>
      <c r="K111" s="53">
        <f t="shared" si="11"/>
        <v>55968915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626</v>
      </c>
      <c r="H112" s="36">
        <f t="shared" si="8"/>
        <v>0</v>
      </c>
      <c r="I112" s="11">
        <f t="shared" si="9"/>
        <v>-17778400000</v>
      </c>
      <c r="J112" s="53">
        <f t="shared" si="10"/>
        <v>0</v>
      </c>
      <c r="K112" s="53">
        <f t="shared" si="11"/>
        <v>-17778400000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611</v>
      </c>
      <c r="H113" s="36">
        <f t="shared" si="8"/>
        <v>1</v>
      </c>
      <c r="I113" s="11">
        <f t="shared" si="9"/>
        <v>99454400</v>
      </c>
      <c r="J113" s="53">
        <f t="shared" si="10"/>
        <v>74731710</v>
      </c>
      <c r="K113" s="53">
        <f t="shared" si="11"/>
        <v>24722690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611</v>
      </c>
      <c r="H114" s="36">
        <f t="shared" si="8"/>
        <v>0</v>
      </c>
      <c r="I114" s="11">
        <f t="shared" si="9"/>
        <v>-3482700</v>
      </c>
      <c r="J114" s="53">
        <f t="shared" si="10"/>
        <v>-1527500</v>
      </c>
      <c r="K114" s="53">
        <f t="shared" si="11"/>
        <v>-1955200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598</v>
      </c>
      <c r="H115" s="36">
        <f t="shared" si="8"/>
        <v>0</v>
      </c>
      <c r="I115" s="11">
        <f t="shared" si="9"/>
        <v>0</v>
      </c>
      <c r="J115" s="53">
        <f t="shared" si="10"/>
        <v>299000000</v>
      </c>
      <c r="K115" s="53">
        <f t="shared" si="11"/>
        <v>-299000000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590</v>
      </c>
      <c r="H116" s="36">
        <f t="shared" si="8"/>
        <v>0</v>
      </c>
      <c r="I116" s="11">
        <f t="shared" si="9"/>
        <v>-94400000</v>
      </c>
      <c r="J116" s="53">
        <f t="shared" si="10"/>
        <v>0</v>
      </c>
      <c r="K116" s="53">
        <f t="shared" si="11"/>
        <v>-94400000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581</v>
      </c>
      <c r="H117" s="36">
        <f t="shared" si="8"/>
        <v>1</v>
      </c>
      <c r="I117" s="11">
        <f t="shared" si="9"/>
        <v>858400</v>
      </c>
      <c r="J117" s="53">
        <f t="shared" si="10"/>
        <v>62025780</v>
      </c>
      <c r="K117" s="53">
        <f t="shared" si="11"/>
        <v>-61167380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559</v>
      </c>
      <c r="H118" s="36">
        <f t="shared" si="8"/>
        <v>1</v>
      </c>
      <c r="I118" s="11">
        <f t="shared" si="9"/>
        <v>21984921000</v>
      </c>
      <c r="J118" s="53">
        <f t="shared" si="10"/>
        <v>0</v>
      </c>
      <c r="K118" s="53">
        <f t="shared" si="11"/>
        <v>21984921000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550</v>
      </c>
      <c r="H119" s="36">
        <f t="shared" si="8"/>
        <v>1</v>
      </c>
      <c r="I119" s="11">
        <f t="shared" si="9"/>
        <v>52441029</v>
      </c>
      <c r="J119" s="53">
        <f t="shared" si="10"/>
        <v>60419646</v>
      </c>
      <c r="K119" s="53">
        <f t="shared" si="11"/>
        <v>-7978617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546</v>
      </c>
      <c r="H120" s="11">
        <f t="shared" si="8"/>
        <v>1</v>
      </c>
      <c r="I120" s="11">
        <f t="shared" ref="I120:I276" si="13">B120*(G120-H120)</f>
        <v>1090000000</v>
      </c>
      <c r="J120" s="11">
        <f t="shared" si="10"/>
        <v>0</v>
      </c>
      <c r="K120" s="11">
        <f t="shared" si="11"/>
        <v>1090000000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520</v>
      </c>
      <c r="H121" s="11">
        <f t="shared" si="8"/>
        <v>1</v>
      </c>
      <c r="I121" s="11">
        <f t="shared" si="13"/>
        <v>1349400000</v>
      </c>
      <c r="J121" s="11">
        <f t="shared" si="10"/>
        <v>0</v>
      </c>
      <c r="K121" s="11">
        <f t="shared" si="11"/>
        <v>1349400000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519</v>
      </c>
      <c r="H122" s="11">
        <f t="shared" si="8"/>
        <v>1</v>
      </c>
      <c r="I122" s="11">
        <f t="shared" si="13"/>
        <v>199197418</v>
      </c>
      <c r="J122" s="11">
        <f t="shared" si="10"/>
        <v>57450344</v>
      </c>
      <c r="K122" s="11">
        <f t="shared" si="11"/>
        <v>141747074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518</v>
      </c>
      <c r="H123" s="11">
        <f t="shared" si="8"/>
        <v>0</v>
      </c>
      <c r="I123" s="11">
        <f t="shared" si="13"/>
        <v>0</v>
      </c>
      <c r="J123" s="11">
        <f t="shared" si="10"/>
        <v>414400000</v>
      </c>
      <c r="K123" s="11">
        <f t="shared" si="11"/>
        <v>-414400000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504</v>
      </c>
      <c r="H124" s="11">
        <f t="shared" si="8"/>
        <v>0</v>
      </c>
      <c r="I124" s="11">
        <f t="shared" si="13"/>
        <v>-1512000000</v>
      </c>
      <c r="J124" s="11">
        <f t="shared" si="10"/>
        <v>0</v>
      </c>
      <c r="K124" s="11">
        <f t="shared" si="11"/>
        <v>-1512000000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489</v>
      </c>
      <c r="H125" s="11">
        <f t="shared" si="8"/>
        <v>1</v>
      </c>
      <c r="I125" s="11">
        <f t="shared" si="13"/>
        <v>195546480</v>
      </c>
      <c r="J125" s="11">
        <f t="shared" si="10"/>
        <v>58011000</v>
      </c>
      <c r="K125" s="11">
        <f t="shared" si="11"/>
        <v>137535480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489</v>
      </c>
      <c r="H126" s="11">
        <f t="shared" si="8"/>
        <v>1</v>
      </c>
      <c r="I126" s="11">
        <f t="shared" si="13"/>
        <v>20496000000</v>
      </c>
      <c r="J126" s="11">
        <f t="shared" si="10"/>
        <v>0</v>
      </c>
      <c r="K126" s="11">
        <f t="shared" si="11"/>
        <v>20496000000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464</v>
      </c>
      <c r="H127" s="11">
        <f t="shared" si="8"/>
        <v>0</v>
      </c>
      <c r="I127" s="11">
        <f t="shared" si="13"/>
        <v>-2320000</v>
      </c>
      <c r="J127" s="11">
        <f t="shared" si="10"/>
        <v>0</v>
      </c>
      <c r="K127" s="11">
        <f t="shared" si="11"/>
        <v>-2320000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458</v>
      </c>
      <c r="H128" s="11">
        <f t="shared" si="8"/>
        <v>1</v>
      </c>
      <c r="I128" s="11">
        <f t="shared" si="13"/>
        <v>352517918</v>
      </c>
      <c r="J128" s="11">
        <f t="shared" si="10"/>
        <v>55158529</v>
      </c>
      <c r="K128" s="11">
        <f t="shared" si="11"/>
        <v>297359389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455</v>
      </c>
      <c r="H129" s="11">
        <f t="shared" si="8"/>
        <v>1</v>
      </c>
      <c r="I129" s="11">
        <f t="shared" si="13"/>
        <v>1135000000</v>
      </c>
      <c r="J129" s="11">
        <f t="shared" si="10"/>
        <v>0</v>
      </c>
      <c r="K129" s="11">
        <f t="shared" si="11"/>
        <v>1135000000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441</v>
      </c>
      <c r="H130" s="11">
        <f t="shared" si="8"/>
        <v>0</v>
      </c>
      <c r="I130" s="11">
        <f t="shared" si="13"/>
        <v>-441000000</v>
      </c>
      <c r="J130" s="11">
        <f t="shared" si="10"/>
        <v>-441000000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436</v>
      </c>
      <c r="H131" s="11">
        <f t="shared" si="8"/>
        <v>0</v>
      </c>
      <c r="I131" s="11">
        <f t="shared" si="13"/>
        <v>-21800000000</v>
      </c>
      <c r="J131" s="11">
        <f t="shared" si="10"/>
        <v>0</v>
      </c>
      <c r="K131" s="11">
        <f t="shared" si="11"/>
        <v>-21800000000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428</v>
      </c>
      <c r="H132" s="11">
        <f t="shared" ref="H132:H276" si="15">IF(B132&gt;0,1,0)</f>
        <v>1</v>
      </c>
      <c r="I132" s="11">
        <f t="shared" si="13"/>
        <v>262300549</v>
      </c>
      <c r="J132" s="11">
        <f t="shared" ref="J132:J206" si="16">C132*(G132-H132)</f>
        <v>45249617</v>
      </c>
      <c r="K132" s="11">
        <f t="shared" ref="K132:K276" si="17">D132*(G132-H132)</f>
        <v>217050932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424</v>
      </c>
      <c r="H133" s="11">
        <f t="shared" si="15"/>
        <v>0</v>
      </c>
      <c r="I133" s="11">
        <f t="shared" si="13"/>
        <v>-513336800</v>
      </c>
      <c r="J133" s="11">
        <f t="shared" si="16"/>
        <v>0</v>
      </c>
      <c r="K133" s="11">
        <f t="shared" si="17"/>
        <v>-513336800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415</v>
      </c>
      <c r="H134" s="11">
        <f t="shared" si="15"/>
        <v>0</v>
      </c>
      <c r="I134" s="11">
        <f t="shared" si="13"/>
        <v>-26975000</v>
      </c>
      <c r="J134" s="11">
        <f t="shared" si="16"/>
        <v>0</v>
      </c>
      <c r="K134" s="11">
        <f t="shared" si="17"/>
        <v>-26975000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415</v>
      </c>
      <c r="H135" s="11">
        <f t="shared" si="15"/>
        <v>0</v>
      </c>
      <c r="I135" s="11">
        <f t="shared" si="13"/>
        <v>-13404500</v>
      </c>
      <c r="J135" s="11">
        <f t="shared" si="16"/>
        <v>0</v>
      </c>
      <c r="K135" s="11">
        <f t="shared" si="17"/>
        <v>-13404500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407</v>
      </c>
      <c r="H136" s="11">
        <f t="shared" si="15"/>
        <v>0</v>
      </c>
      <c r="I136" s="11">
        <f t="shared" si="13"/>
        <v>-407000000</v>
      </c>
      <c r="J136" s="11">
        <f t="shared" si="16"/>
        <v>-407000000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398</v>
      </c>
      <c r="H137" s="11">
        <f t="shared" si="15"/>
        <v>1</v>
      </c>
      <c r="I137" s="11">
        <f t="shared" si="13"/>
        <v>115476581</v>
      </c>
      <c r="J137" s="11">
        <f t="shared" si="16"/>
        <v>38651523</v>
      </c>
      <c r="K137" s="11">
        <f t="shared" si="17"/>
        <v>76825058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381</v>
      </c>
      <c r="H138" s="11">
        <f t="shared" si="15"/>
        <v>0</v>
      </c>
      <c r="I138" s="11">
        <f t="shared" si="13"/>
        <v>-381190500</v>
      </c>
      <c r="J138" s="11">
        <f t="shared" si="16"/>
        <v>-381190500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369</v>
      </c>
      <c r="H139" s="11">
        <f t="shared" si="15"/>
        <v>1</v>
      </c>
      <c r="I139" s="11">
        <f t="shared" si="13"/>
        <v>103864320</v>
      </c>
      <c r="J139" s="11">
        <f t="shared" si="16"/>
        <v>32680976</v>
      </c>
      <c r="K139" s="11">
        <f t="shared" si="17"/>
        <v>71183344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366</v>
      </c>
      <c r="H140" s="11">
        <f t="shared" si="15"/>
        <v>1</v>
      </c>
      <c r="I140" s="11">
        <f t="shared" si="13"/>
        <v>547500000</v>
      </c>
      <c r="J140" s="11">
        <f t="shared" si="16"/>
        <v>0</v>
      </c>
      <c r="K140" s="11">
        <f t="shared" si="17"/>
        <v>547500000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353</v>
      </c>
      <c r="H141" s="11">
        <f t="shared" si="15"/>
        <v>0</v>
      </c>
      <c r="I141" s="11">
        <f t="shared" si="13"/>
        <v>0</v>
      </c>
      <c r="J141" s="11">
        <f t="shared" si="16"/>
        <v>-353000000</v>
      </c>
      <c r="K141" s="11">
        <f t="shared" si="17"/>
        <v>353000000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339</v>
      </c>
      <c r="H142" s="11">
        <f t="shared" si="15"/>
        <v>1</v>
      </c>
      <c r="I142" s="11">
        <f t="shared" si="13"/>
        <v>98321834</v>
      </c>
      <c r="J142" s="11">
        <f t="shared" si="16"/>
        <v>27385436</v>
      </c>
      <c r="K142" s="11">
        <f t="shared" si="17"/>
        <v>70936398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319</v>
      </c>
      <c r="H143" s="11">
        <f t="shared" si="15"/>
        <v>0</v>
      </c>
      <c r="I143" s="11">
        <f t="shared" si="13"/>
        <v>0</v>
      </c>
      <c r="J143" s="11">
        <f t="shared" si="16"/>
        <v>-319000000</v>
      </c>
      <c r="K143" s="11">
        <f t="shared" si="17"/>
        <v>319000000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309</v>
      </c>
      <c r="H144" s="11">
        <f t="shared" si="15"/>
        <v>1</v>
      </c>
      <c r="I144" s="11">
        <f t="shared" si="13"/>
        <v>90814416</v>
      </c>
      <c r="J144" s="11">
        <f t="shared" si="16"/>
        <v>22994356</v>
      </c>
      <c r="K144" s="11">
        <f t="shared" si="17"/>
        <v>67820060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294</v>
      </c>
      <c r="H145" s="11">
        <f t="shared" si="15"/>
        <v>0</v>
      </c>
      <c r="I145" s="11">
        <f t="shared" si="13"/>
        <v>-2940000</v>
      </c>
      <c r="J145" s="11">
        <f t="shared" si="16"/>
        <v>-1470000</v>
      </c>
      <c r="K145" s="11">
        <f t="shared" si="17"/>
        <v>-1470000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289</v>
      </c>
      <c r="H146" s="11">
        <f t="shared" si="15"/>
        <v>0</v>
      </c>
      <c r="I146" s="11">
        <f t="shared" si="13"/>
        <v>-289144500</v>
      </c>
      <c r="J146" s="11">
        <f t="shared" si="16"/>
        <v>-289144500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283</v>
      </c>
      <c r="H147" s="11">
        <f t="shared" si="15"/>
        <v>0</v>
      </c>
      <c r="I147" s="11">
        <f t="shared" si="13"/>
        <v>-7641000000</v>
      </c>
      <c r="J147" s="11">
        <f t="shared" si="16"/>
        <v>0</v>
      </c>
      <c r="K147" s="11">
        <f t="shared" si="17"/>
        <v>-7641000000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280</v>
      </c>
      <c r="H148" s="11">
        <f t="shared" si="15"/>
        <v>1</v>
      </c>
      <c r="I148" s="11">
        <f t="shared" si="13"/>
        <v>70429644</v>
      </c>
      <c r="J148" s="11">
        <f t="shared" si="16"/>
        <v>18277290</v>
      </c>
      <c r="K148" s="11">
        <f t="shared" si="17"/>
        <v>52152354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76" si="18">B149-C149</f>
        <v>52400000</v>
      </c>
      <c r="E149" s="11" t="s">
        <v>1074</v>
      </c>
      <c r="F149" s="11">
        <v>7</v>
      </c>
      <c r="G149" s="36">
        <f t="shared" si="14"/>
        <v>272</v>
      </c>
      <c r="H149" s="11">
        <f t="shared" si="15"/>
        <v>1</v>
      </c>
      <c r="I149" s="11">
        <f t="shared" si="13"/>
        <v>14200400000</v>
      </c>
      <c r="J149" s="11">
        <f t="shared" si="16"/>
        <v>0</v>
      </c>
      <c r="K149" s="11">
        <f t="shared" si="17"/>
        <v>14200400000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265</v>
      </c>
      <c r="H150" s="11">
        <f t="shared" si="15"/>
        <v>0</v>
      </c>
      <c r="I150" s="11">
        <f t="shared" si="13"/>
        <v>-13780000000</v>
      </c>
      <c r="J150" s="11">
        <f t="shared" si="16"/>
        <v>0</v>
      </c>
      <c r="K150" s="11">
        <f t="shared" si="17"/>
        <v>-13780000000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260</v>
      </c>
      <c r="H151" s="99">
        <f t="shared" si="15"/>
        <v>0</v>
      </c>
      <c r="I151" s="99">
        <f t="shared" si="13"/>
        <v>-2080000000</v>
      </c>
      <c r="J151" s="99">
        <f t="shared" si="16"/>
        <v>-1760754060</v>
      </c>
      <c r="K151" s="11">
        <f t="shared" si="17"/>
        <v>-319245940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260</v>
      </c>
      <c r="H152" s="99">
        <f t="shared" si="15"/>
        <v>0</v>
      </c>
      <c r="I152" s="99">
        <f t="shared" si="13"/>
        <v>-8119800</v>
      </c>
      <c r="J152" s="99">
        <f t="shared" si="16"/>
        <v>0</v>
      </c>
      <c r="K152" s="99">
        <f t="shared" si="17"/>
        <v>-8119800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249</v>
      </c>
      <c r="H153" s="99">
        <f t="shared" si="15"/>
        <v>1</v>
      </c>
      <c r="I153" s="99">
        <f t="shared" si="13"/>
        <v>33501576</v>
      </c>
      <c r="J153" s="99">
        <f t="shared" si="16"/>
        <v>10200240</v>
      </c>
      <c r="K153" s="99">
        <f t="shared" si="17"/>
        <v>23301336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246</v>
      </c>
      <c r="H154" s="99">
        <f t="shared" si="15"/>
        <v>1</v>
      </c>
      <c r="I154" s="99">
        <f t="shared" si="13"/>
        <v>1671900090</v>
      </c>
      <c r="J154" s="99">
        <f t="shared" si="16"/>
        <v>1671900090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241</v>
      </c>
      <c r="H155" s="99">
        <f t="shared" si="15"/>
        <v>0</v>
      </c>
      <c r="I155" s="99">
        <f t="shared" si="13"/>
        <v>-48200000</v>
      </c>
      <c r="J155" s="99">
        <f t="shared" si="16"/>
        <v>0</v>
      </c>
      <c r="K155" s="99">
        <f t="shared" si="17"/>
        <v>-48200000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241</v>
      </c>
      <c r="H156" s="99">
        <f t="shared" si="15"/>
        <v>0</v>
      </c>
      <c r="I156" s="99">
        <f t="shared" si="13"/>
        <v>-59729440</v>
      </c>
      <c r="J156" s="99">
        <f t="shared" si="16"/>
        <v>0</v>
      </c>
      <c r="K156" s="99">
        <f t="shared" si="17"/>
        <v>-59729440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240</v>
      </c>
      <c r="H157" s="99">
        <f t="shared" si="15"/>
        <v>0</v>
      </c>
      <c r="I157" s="99">
        <f t="shared" si="13"/>
        <v>-38961600</v>
      </c>
      <c r="J157" s="99">
        <f t="shared" si="16"/>
        <v>0</v>
      </c>
      <c r="K157" s="99">
        <f t="shared" si="17"/>
        <v>-38961600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240</v>
      </c>
      <c r="H158" s="99">
        <f t="shared" si="15"/>
        <v>0</v>
      </c>
      <c r="I158" s="99">
        <f t="shared" si="13"/>
        <v>-720216000</v>
      </c>
      <c r="J158" s="99">
        <f t="shared" si="16"/>
        <v>0</v>
      </c>
      <c r="K158" s="99">
        <f t="shared" si="17"/>
        <v>-720216000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238</v>
      </c>
      <c r="H159" s="99">
        <f t="shared" si="15"/>
        <v>0</v>
      </c>
      <c r="I159" s="99">
        <f t="shared" si="13"/>
        <v>-238119000</v>
      </c>
      <c r="J159" s="99">
        <f t="shared" si="16"/>
        <v>0</v>
      </c>
      <c r="K159" s="99">
        <f t="shared" si="17"/>
        <v>-238119000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234</v>
      </c>
      <c r="H160" s="99">
        <f t="shared" si="15"/>
        <v>0</v>
      </c>
      <c r="I160" s="99">
        <f t="shared" si="13"/>
        <v>-23400000</v>
      </c>
      <c r="J160" s="99">
        <f t="shared" si="16"/>
        <v>0</v>
      </c>
      <c r="K160" s="99">
        <f t="shared" si="17"/>
        <v>-23400000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233</v>
      </c>
      <c r="H161" s="99">
        <f t="shared" si="15"/>
        <v>0</v>
      </c>
      <c r="I161" s="99">
        <f t="shared" si="13"/>
        <v>-466000000</v>
      </c>
      <c r="J161" s="99">
        <f t="shared" si="16"/>
        <v>0</v>
      </c>
      <c r="K161" s="99">
        <f t="shared" si="17"/>
        <v>-466000000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233</v>
      </c>
      <c r="H162" s="99">
        <f t="shared" si="15"/>
        <v>0</v>
      </c>
      <c r="I162" s="99">
        <f t="shared" si="13"/>
        <v>-233116500</v>
      </c>
      <c r="J162" s="99">
        <f t="shared" si="16"/>
        <v>0</v>
      </c>
      <c r="K162" s="99">
        <f t="shared" si="17"/>
        <v>-233116500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230</v>
      </c>
      <c r="H163" s="99">
        <f t="shared" si="15"/>
        <v>0</v>
      </c>
      <c r="I163" s="99">
        <f t="shared" si="13"/>
        <v>-1150000</v>
      </c>
      <c r="J163" s="99">
        <f t="shared" si="16"/>
        <v>0</v>
      </c>
      <c r="K163" s="99">
        <f t="shared" si="17"/>
        <v>-1150000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220</v>
      </c>
      <c r="H164" s="99">
        <f t="shared" si="15"/>
        <v>1</v>
      </c>
      <c r="I164" s="99">
        <f t="shared" si="13"/>
        <v>657000000</v>
      </c>
      <c r="J164" s="99">
        <f t="shared" si="16"/>
        <v>0</v>
      </c>
      <c r="K164" s="99">
        <f t="shared" si="17"/>
        <v>657000000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219</v>
      </c>
      <c r="H165" s="99">
        <f t="shared" si="15"/>
        <v>1</v>
      </c>
      <c r="I165" s="99">
        <f t="shared" si="13"/>
        <v>654000000</v>
      </c>
      <c r="J165" s="99">
        <f t="shared" si="16"/>
        <v>0</v>
      </c>
      <c r="K165" s="99">
        <f t="shared" si="17"/>
        <v>654000000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218</v>
      </c>
      <c r="H166" s="99">
        <f t="shared" si="15"/>
        <v>1</v>
      </c>
      <c r="I166" s="99">
        <f t="shared" si="13"/>
        <v>4408138</v>
      </c>
      <c r="J166" s="99">
        <f t="shared" si="16"/>
        <v>12985714</v>
      </c>
      <c r="K166" s="99">
        <f t="shared" si="17"/>
        <v>-8577576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213</v>
      </c>
      <c r="H167" s="99">
        <f t="shared" si="15"/>
        <v>0</v>
      </c>
      <c r="I167" s="99">
        <f t="shared" si="13"/>
        <v>-639191700</v>
      </c>
      <c r="J167" s="99">
        <f t="shared" si="16"/>
        <v>0</v>
      </c>
      <c r="K167" s="99">
        <f t="shared" si="17"/>
        <v>-639191700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195</v>
      </c>
      <c r="H168" s="99">
        <f t="shared" si="15"/>
        <v>0</v>
      </c>
      <c r="I168" s="99">
        <f t="shared" si="13"/>
        <v>-585175500</v>
      </c>
      <c r="J168" s="99">
        <f t="shared" si="16"/>
        <v>0</v>
      </c>
      <c r="K168" s="99">
        <f t="shared" si="17"/>
        <v>-585175500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187</v>
      </c>
      <c r="H169" s="99">
        <f t="shared" si="15"/>
        <v>1</v>
      </c>
      <c r="I169" s="99">
        <f t="shared" si="13"/>
        <v>4037130</v>
      </c>
      <c r="J169" s="99">
        <f t="shared" si="16"/>
        <v>12743790</v>
      </c>
      <c r="K169" s="99">
        <f t="shared" si="17"/>
        <v>-8706660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163</v>
      </c>
      <c r="H170" s="99">
        <f t="shared" si="15"/>
        <v>1</v>
      </c>
      <c r="I170" s="99">
        <f t="shared" si="13"/>
        <v>810000000</v>
      </c>
      <c r="J170" s="99">
        <f t="shared" si="16"/>
        <v>0</v>
      </c>
      <c r="K170" s="99">
        <f t="shared" si="17"/>
        <v>810000000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162</v>
      </c>
      <c r="H171" s="99">
        <f t="shared" si="15"/>
        <v>0</v>
      </c>
      <c r="I171" s="99">
        <f t="shared" si="13"/>
        <v>-810000000</v>
      </c>
      <c r="J171" s="99">
        <f t="shared" si="16"/>
        <v>0</v>
      </c>
      <c r="K171" s="99">
        <f t="shared" si="17"/>
        <v>-810000000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156</v>
      </c>
      <c r="H172" s="99">
        <f t="shared" si="15"/>
        <v>1</v>
      </c>
      <c r="I172" s="99">
        <f t="shared" si="13"/>
        <v>76880</v>
      </c>
      <c r="J172" s="99">
        <f t="shared" si="16"/>
        <v>9715555</v>
      </c>
      <c r="K172" s="99">
        <f t="shared" si="17"/>
        <v>-9638675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155</v>
      </c>
      <c r="H173" s="99">
        <f t="shared" si="15"/>
        <v>1</v>
      </c>
      <c r="I173" s="99">
        <f t="shared" si="13"/>
        <v>120890000</v>
      </c>
      <c r="J173" s="99">
        <f t="shared" si="16"/>
        <v>0</v>
      </c>
      <c r="K173" s="99">
        <f t="shared" si="17"/>
        <v>120890000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144</v>
      </c>
      <c r="H174" s="99">
        <f t="shared" si="15"/>
        <v>0</v>
      </c>
      <c r="I174" s="99">
        <f t="shared" si="13"/>
        <v>-4608000</v>
      </c>
      <c r="J174" s="99">
        <f t="shared" si="16"/>
        <v>0</v>
      </c>
      <c r="K174" s="99">
        <f t="shared" si="17"/>
        <v>-4608000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142</v>
      </c>
      <c r="H175" s="99">
        <f t="shared" si="15"/>
        <v>0</v>
      </c>
      <c r="I175" s="99">
        <f t="shared" si="13"/>
        <v>-106500000</v>
      </c>
      <c r="J175" s="99">
        <f t="shared" si="16"/>
        <v>0</v>
      </c>
      <c r="K175" s="99">
        <f t="shared" si="17"/>
        <v>-106500000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133</v>
      </c>
      <c r="H176" s="99">
        <f t="shared" si="15"/>
        <v>0</v>
      </c>
      <c r="I176" s="99">
        <f t="shared" si="13"/>
        <v>-1249668</v>
      </c>
      <c r="J176" s="99">
        <f t="shared" si="16"/>
        <v>0</v>
      </c>
      <c r="K176" s="99">
        <f t="shared" si="17"/>
        <v>-1249668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132</v>
      </c>
      <c r="H177" s="99">
        <f t="shared" si="15"/>
        <v>0</v>
      </c>
      <c r="I177" s="99">
        <f t="shared" si="13"/>
        <v>-5715600</v>
      </c>
      <c r="J177" s="99">
        <f t="shared" si="16"/>
        <v>0</v>
      </c>
      <c r="K177" s="99">
        <f t="shared" si="17"/>
        <v>-5715600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129</v>
      </c>
      <c r="H178" s="99">
        <f t="shared" si="15"/>
        <v>1</v>
      </c>
      <c r="I178" s="99">
        <f t="shared" si="13"/>
        <v>46080000</v>
      </c>
      <c r="J178" s="99">
        <f t="shared" si="16"/>
        <v>0</v>
      </c>
      <c r="K178" s="99">
        <f t="shared" si="17"/>
        <v>46080000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127</v>
      </c>
      <c r="H179" s="99">
        <f t="shared" si="15"/>
        <v>1</v>
      </c>
      <c r="I179" s="99">
        <f t="shared" si="13"/>
        <v>378000000</v>
      </c>
      <c r="J179" s="99">
        <f t="shared" si="16"/>
        <v>0</v>
      </c>
      <c r="K179" s="99">
        <f t="shared" si="17"/>
        <v>378000000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127</v>
      </c>
      <c r="H180" s="99">
        <f t="shared" si="15"/>
        <v>0</v>
      </c>
      <c r="I180" s="99">
        <f t="shared" si="13"/>
        <v>-1530350</v>
      </c>
      <c r="J180" s="99">
        <f t="shared" si="16"/>
        <v>0</v>
      </c>
      <c r="K180" s="99">
        <f t="shared" si="17"/>
        <v>-1530350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125</v>
      </c>
      <c r="H181" s="99">
        <f t="shared" si="15"/>
        <v>1</v>
      </c>
      <c r="I181" s="99">
        <f t="shared" si="13"/>
        <v>372000000</v>
      </c>
      <c r="J181" s="99">
        <f t="shared" si="16"/>
        <v>0</v>
      </c>
      <c r="K181" s="99">
        <f t="shared" si="17"/>
        <v>372000000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123</v>
      </c>
      <c r="H182" s="99">
        <f t="shared" si="15"/>
        <v>0</v>
      </c>
      <c r="I182" s="99">
        <f t="shared" si="13"/>
        <v>-4403400</v>
      </c>
      <c r="J182" s="99">
        <f t="shared" si="16"/>
        <v>0</v>
      </c>
      <c r="K182" s="99">
        <f t="shared" si="17"/>
        <v>-4403400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122</v>
      </c>
      <c r="H183" s="99">
        <f t="shared" si="15"/>
        <v>1</v>
      </c>
      <c r="I183" s="99">
        <f t="shared" si="13"/>
        <v>435600000</v>
      </c>
      <c r="J183" s="99">
        <f t="shared" si="16"/>
        <v>0</v>
      </c>
      <c r="K183" s="99">
        <f t="shared" si="17"/>
        <v>435600000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122</v>
      </c>
      <c r="H184" s="99">
        <f t="shared" si="15"/>
        <v>0</v>
      </c>
      <c r="I184" s="99">
        <f t="shared" si="13"/>
        <v>-4071994</v>
      </c>
      <c r="J184" s="99">
        <f t="shared" si="16"/>
        <v>0</v>
      </c>
      <c r="K184" s="99">
        <f t="shared" si="17"/>
        <v>-4071994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119</v>
      </c>
      <c r="H185" s="99">
        <f t="shared" si="15"/>
        <v>0</v>
      </c>
      <c r="I185" s="99">
        <f t="shared" si="13"/>
        <v>-1166200000</v>
      </c>
      <c r="J185" s="99">
        <f t="shared" si="16"/>
        <v>0</v>
      </c>
      <c r="K185" s="99">
        <f t="shared" si="17"/>
        <v>-1166200000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119</v>
      </c>
      <c r="H186" s="99">
        <f t="shared" si="15"/>
        <v>1</v>
      </c>
      <c r="I186" s="99">
        <f t="shared" si="13"/>
        <v>2124000000</v>
      </c>
      <c r="J186" s="99">
        <f t="shared" si="16"/>
        <v>0</v>
      </c>
      <c r="K186" s="99">
        <f t="shared" si="17"/>
        <v>2124000000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119</v>
      </c>
      <c r="H187" s="99">
        <f t="shared" si="15"/>
        <v>0</v>
      </c>
      <c r="I187" s="99">
        <f t="shared" si="13"/>
        <v>-1071000000</v>
      </c>
      <c r="J187" s="99">
        <f t="shared" si="16"/>
        <v>0</v>
      </c>
      <c r="K187" s="99">
        <f t="shared" si="17"/>
        <v>-1071000000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119</v>
      </c>
      <c r="H188" s="99">
        <f t="shared" si="15"/>
        <v>0</v>
      </c>
      <c r="I188" s="99">
        <f t="shared" si="13"/>
        <v>-1380400</v>
      </c>
      <c r="J188" s="99">
        <f t="shared" si="16"/>
        <v>0</v>
      </c>
      <c r="K188" s="99">
        <f t="shared" si="17"/>
        <v>-1380400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119</v>
      </c>
      <c r="H189" s="99">
        <f t="shared" si="15"/>
        <v>0</v>
      </c>
      <c r="I189" s="99">
        <f t="shared" si="13"/>
        <v>-393214913</v>
      </c>
      <c r="J189" s="99">
        <f t="shared" si="16"/>
        <v>0</v>
      </c>
      <c r="K189" s="99">
        <f t="shared" si="17"/>
        <v>-393214913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118</v>
      </c>
      <c r="H190" s="99">
        <f t="shared" si="15"/>
        <v>0</v>
      </c>
      <c r="I190" s="99">
        <f t="shared" si="13"/>
        <v>-354106200</v>
      </c>
      <c r="J190" s="99">
        <f t="shared" si="16"/>
        <v>0</v>
      </c>
      <c r="K190" s="99">
        <f t="shared" si="17"/>
        <v>-354106200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117</v>
      </c>
      <c r="H191" s="99">
        <f t="shared" si="15"/>
        <v>0</v>
      </c>
      <c r="I191" s="99">
        <f t="shared" si="13"/>
        <v>-323025300</v>
      </c>
      <c r="J191" s="99">
        <f t="shared" si="16"/>
        <v>0</v>
      </c>
      <c r="K191" s="99">
        <f t="shared" si="17"/>
        <v>-323025300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112</v>
      </c>
      <c r="H192" s="99">
        <f t="shared" si="15"/>
        <v>1</v>
      </c>
      <c r="I192" s="99">
        <f t="shared" si="13"/>
        <v>111000000</v>
      </c>
      <c r="J192" s="99">
        <f t="shared" si="16"/>
        <v>0</v>
      </c>
      <c r="K192" s="99">
        <f t="shared" si="17"/>
        <v>111000000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111</v>
      </c>
      <c r="H193" s="99">
        <f t="shared" si="15"/>
        <v>0</v>
      </c>
      <c r="I193" s="99">
        <f t="shared" si="13"/>
        <v>-1665000</v>
      </c>
      <c r="J193" s="99">
        <f t="shared" si="16"/>
        <v>0</v>
      </c>
      <c r="K193" s="99">
        <f t="shared" si="17"/>
        <v>-1665000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109</v>
      </c>
      <c r="H194" s="99">
        <f t="shared" si="15"/>
        <v>0</v>
      </c>
      <c r="I194" s="99">
        <f t="shared" si="13"/>
        <v>-107910000</v>
      </c>
      <c r="J194" s="99">
        <f t="shared" si="16"/>
        <v>0</v>
      </c>
      <c r="K194" s="99">
        <f t="shared" si="17"/>
        <v>-107910000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109</v>
      </c>
      <c r="H195" s="99">
        <f t="shared" si="15"/>
        <v>1</v>
      </c>
      <c r="I195" s="99">
        <f t="shared" si="13"/>
        <v>84564000</v>
      </c>
      <c r="J195" s="99">
        <f t="shared" si="16"/>
        <v>0</v>
      </c>
      <c r="K195" s="99">
        <f t="shared" si="17"/>
        <v>84564000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107</v>
      </c>
      <c r="H196" s="99">
        <f t="shared" si="15"/>
        <v>0</v>
      </c>
      <c r="I196" s="99">
        <f t="shared" si="13"/>
        <v>-80303500</v>
      </c>
      <c r="J196" s="99">
        <f t="shared" si="16"/>
        <v>0</v>
      </c>
      <c r="K196" s="99">
        <f t="shared" si="17"/>
        <v>-80303500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105</v>
      </c>
      <c r="H197" s="99">
        <f t="shared" si="15"/>
        <v>1</v>
      </c>
      <c r="I197" s="99">
        <f t="shared" si="13"/>
        <v>72800000</v>
      </c>
      <c r="J197" s="99">
        <f t="shared" si="16"/>
        <v>0</v>
      </c>
      <c r="K197" s="99">
        <f t="shared" si="17"/>
        <v>72800000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105</v>
      </c>
      <c r="H198" s="99">
        <f t="shared" si="15"/>
        <v>0</v>
      </c>
      <c r="I198" s="99">
        <f t="shared" si="13"/>
        <v>-10395000</v>
      </c>
      <c r="J198" s="99">
        <f t="shared" si="16"/>
        <v>0</v>
      </c>
      <c r="K198" s="99">
        <f t="shared" si="17"/>
        <v>-10395000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104</v>
      </c>
      <c r="H199" s="99">
        <f t="shared" si="15"/>
        <v>0</v>
      </c>
      <c r="I199" s="99">
        <f t="shared" si="13"/>
        <v>-21398000</v>
      </c>
      <c r="J199" s="99">
        <f t="shared" si="16"/>
        <v>0</v>
      </c>
      <c r="K199" s="99">
        <f t="shared" si="17"/>
        <v>-21398000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104</v>
      </c>
      <c r="H200" s="99">
        <f t="shared" si="15"/>
        <v>0</v>
      </c>
      <c r="I200" s="99">
        <f t="shared" si="13"/>
        <v>-9880000</v>
      </c>
      <c r="J200" s="99">
        <f t="shared" si="16"/>
        <v>0</v>
      </c>
      <c r="K200" s="99">
        <f t="shared" si="17"/>
        <v>-9880000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101</v>
      </c>
      <c r="H201" s="99">
        <f t="shared" si="15"/>
        <v>1</v>
      </c>
      <c r="I201" s="99">
        <f t="shared" si="13"/>
        <v>4865000000</v>
      </c>
      <c r="J201" s="99">
        <f t="shared" si="16"/>
        <v>0</v>
      </c>
      <c r="K201" s="99">
        <f t="shared" si="17"/>
        <v>4865000000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101</v>
      </c>
      <c r="H202" s="99">
        <f t="shared" si="15"/>
        <v>0</v>
      </c>
      <c r="I202" s="99">
        <f t="shared" si="13"/>
        <v>-303090900</v>
      </c>
      <c r="J202" s="99">
        <f t="shared" si="16"/>
        <v>0</v>
      </c>
      <c r="K202" s="99">
        <f t="shared" si="17"/>
        <v>-303090900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101</v>
      </c>
      <c r="H203" s="99">
        <f t="shared" si="15"/>
        <v>0</v>
      </c>
      <c r="I203" s="99">
        <f t="shared" si="13"/>
        <v>-505000</v>
      </c>
      <c r="J203" s="99">
        <f t="shared" si="16"/>
        <v>0</v>
      </c>
      <c r="K203" s="99">
        <f t="shared" si="17"/>
        <v>-505000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101</v>
      </c>
      <c r="H204" s="99">
        <f t="shared" si="15"/>
        <v>0</v>
      </c>
      <c r="I204" s="99">
        <f t="shared" si="13"/>
        <v>-3383500000</v>
      </c>
      <c r="J204" s="99">
        <f t="shared" si="16"/>
        <v>0</v>
      </c>
      <c r="K204" s="99">
        <f t="shared" si="17"/>
        <v>-3383500000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76" si="19">G206+F205</f>
        <v>100</v>
      </c>
      <c r="H205" s="99">
        <f t="shared" si="15"/>
        <v>0</v>
      </c>
      <c r="I205" s="99">
        <f t="shared" si="13"/>
        <v>-1243500000</v>
      </c>
      <c r="J205" s="99">
        <f t="shared" si="16"/>
        <v>0</v>
      </c>
      <c r="K205" s="99">
        <f t="shared" si="17"/>
        <v>-1243500000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97</v>
      </c>
      <c r="H206" s="99">
        <f t="shared" si="15"/>
        <v>0</v>
      </c>
      <c r="I206" s="99">
        <f t="shared" si="13"/>
        <v>-1794500</v>
      </c>
      <c r="J206" s="99">
        <f t="shared" si="16"/>
        <v>0</v>
      </c>
      <c r="K206" s="99">
        <f t="shared" si="17"/>
        <v>-1794500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95</v>
      </c>
      <c r="H207" s="99">
        <f t="shared" si="15"/>
        <v>1</v>
      </c>
      <c r="I207" s="99">
        <f t="shared" si="13"/>
        <v>1361120</v>
      </c>
      <c r="J207" s="99">
        <f t="shared" ref="J207:J276" si="20">C207*(G207-H207)</f>
        <v>6662156</v>
      </c>
      <c r="K207" s="99">
        <f t="shared" si="17"/>
        <v>-5301036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94</v>
      </c>
      <c r="H208" s="99">
        <f t="shared" si="15"/>
        <v>1</v>
      </c>
      <c r="I208" s="99">
        <f t="shared" si="13"/>
        <v>77190000</v>
      </c>
      <c r="J208" s="99">
        <f t="shared" si="20"/>
        <v>0</v>
      </c>
      <c r="K208" s="99">
        <f t="shared" si="17"/>
        <v>77190000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92</v>
      </c>
      <c r="H209" s="99">
        <f t="shared" si="15"/>
        <v>0</v>
      </c>
      <c r="I209" s="99">
        <f t="shared" si="13"/>
        <v>-4824480</v>
      </c>
      <c r="J209" s="99">
        <f t="shared" si="20"/>
        <v>0</v>
      </c>
      <c r="K209" s="99">
        <f t="shared" si="17"/>
        <v>-4824480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91</v>
      </c>
      <c r="H210" s="99">
        <f t="shared" si="15"/>
        <v>0</v>
      </c>
      <c r="I210" s="99">
        <f t="shared" si="13"/>
        <v>-4650100</v>
      </c>
      <c r="J210" s="99">
        <f t="shared" si="20"/>
        <v>0</v>
      </c>
      <c r="K210" s="99">
        <f t="shared" si="17"/>
        <v>-4650100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90</v>
      </c>
      <c r="H211" s="99">
        <f t="shared" si="15"/>
        <v>0</v>
      </c>
      <c r="I211" s="99">
        <f t="shared" si="13"/>
        <v>-18000000</v>
      </c>
      <c r="J211" s="99">
        <f t="shared" si="20"/>
        <v>0</v>
      </c>
      <c r="K211" s="99">
        <f t="shared" si="17"/>
        <v>-18000000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89</v>
      </c>
      <c r="H212" s="99">
        <f t="shared" si="15"/>
        <v>0</v>
      </c>
      <c r="I212" s="99">
        <f t="shared" si="13"/>
        <v>-2492000</v>
      </c>
      <c r="J212" s="99">
        <f t="shared" si="20"/>
        <v>0</v>
      </c>
      <c r="K212" s="99">
        <f t="shared" si="17"/>
        <v>-2492000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88</v>
      </c>
      <c r="H213" s="99">
        <f t="shared" si="15"/>
        <v>0</v>
      </c>
      <c r="I213" s="99">
        <f t="shared" si="13"/>
        <v>-5200800</v>
      </c>
      <c r="J213" s="99">
        <f t="shared" si="20"/>
        <v>0</v>
      </c>
      <c r="K213" s="99">
        <f t="shared" si="17"/>
        <v>-5200800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87</v>
      </c>
      <c r="H214" s="99">
        <f t="shared" si="15"/>
        <v>0</v>
      </c>
      <c r="I214" s="99">
        <f t="shared" si="13"/>
        <v>-2610000</v>
      </c>
      <c r="J214" s="99">
        <f t="shared" si="20"/>
        <v>0</v>
      </c>
      <c r="K214" s="99">
        <f t="shared" si="17"/>
        <v>-2610000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87</v>
      </c>
      <c r="H215" s="99">
        <f t="shared" si="15"/>
        <v>0</v>
      </c>
      <c r="I215" s="99">
        <f t="shared" si="13"/>
        <v>-15486000</v>
      </c>
      <c r="J215" s="99">
        <f t="shared" si="20"/>
        <v>0</v>
      </c>
      <c r="K215" s="99">
        <f t="shared" si="17"/>
        <v>-15486000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86</v>
      </c>
      <c r="H216" s="99">
        <f t="shared" si="15"/>
        <v>0</v>
      </c>
      <c r="I216" s="99">
        <f t="shared" si="13"/>
        <v>-8222460</v>
      </c>
      <c r="J216" s="99">
        <f t="shared" si="20"/>
        <v>0</v>
      </c>
      <c r="K216" s="99">
        <f t="shared" si="17"/>
        <v>-8222460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83</v>
      </c>
      <c r="H217" s="99">
        <f t="shared" si="15"/>
        <v>0</v>
      </c>
      <c r="I217" s="99">
        <f t="shared" si="13"/>
        <v>-6972000</v>
      </c>
      <c r="J217" s="99">
        <f t="shared" si="20"/>
        <v>0</v>
      </c>
      <c r="K217" s="99">
        <f t="shared" si="17"/>
        <v>-6972000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75" si="21">G219+F218</f>
        <v>81</v>
      </c>
      <c r="H218" s="99">
        <f t="shared" si="15"/>
        <v>0</v>
      </c>
      <c r="I218" s="99">
        <f t="shared" si="13"/>
        <v>-2673000</v>
      </c>
      <c r="J218" s="99">
        <f t="shared" si="20"/>
        <v>0</v>
      </c>
      <c r="K218" s="99">
        <f t="shared" si="17"/>
        <v>-2673000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78</v>
      </c>
      <c r="H219" s="99">
        <f t="shared" si="15"/>
        <v>1</v>
      </c>
      <c r="I219" s="99">
        <f t="shared" si="13"/>
        <v>119196000</v>
      </c>
      <c r="J219" s="99">
        <f t="shared" si="20"/>
        <v>0</v>
      </c>
      <c r="K219" s="99">
        <f t="shared" si="17"/>
        <v>119196000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77</v>
      </c>
      <c r="H220" s="99">
        <f t="shared" si="15"/>
        <v>0</v>
      </c>
      <c r="I220" s="99">
        <f t="shared" si="13"/>
        <v>-107853900</v>
      </c>
      <c r="J220" s="99">
        <f t="shared" si="20"/>
        <v>0</v>
      </c>
      <c r="K220" s="99">
        <f t="shared" si="17"/>
        <v>-107853900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77</v>
      </c>
      <c r="H221" s="99">
        <f t="shared" si="15"/>
        <v>0</v>
      </c>
      <c r="I221" s="99">
        <f t="shared" si="13"/>
        <v>-770000</v>
      </c>
      <c r="J221" s="99">
        <f t="shared" si="20"/>
        <v>0</v>
      </c>
      <c r="K221" s="99">
        <f t="shared" si="17"/>
        <v>-770000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77</v>
      </c>
      <c r="H222" s="99">
        <f t="shared" si="15"/>
        <v>0</v>
      </c>
      <c r="I222" s="99">
        <f t="shared" si="13"/>
        <v>-385000</v>
      </c>
      <c r="J222" s="99">
        <f t="shared" si="20"/>
        <v>-192500</v>
      </c>
      <c r="K222" s="99">
        <f t="shared" si="17"/>
        <v>-192500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71</v>
      </c>
      <c r="H223" s="99">
        <f t="shared" si="15"/>
        <v>0</v>
      </c>
      <c r="I223" s="99">
        <f t="shared" si="13"/>
        <v>-13490000</v>
      </c>
      <c r="J223" s="99">
        <f t="shared" si="20"/>
        <v>0</v>
      </c>
      <c r="K223" s="99">
        <f t="shared" si="17"/>
        <v>-13490000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64</v>
      </c>
      <c r="H224" s="99">
        <f t="shared" si="15"/>
        <v>1</v>
      </c>
      <c r="I224" s="99">
        <f t="shared" si="13"/>
        <v>120393</v>
      </c>
      <c r="J224" s="99">
        <f t="shared" si="20"/>
        <v>4093236</v>
      </c>
      <c r="K224" s="99">
        <f t="shared" si="17"/>
        <v>-3972843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58</v>
      </c>
      <c r="H225" s="99">
        <f t="shared" si="15"/>
        <v>1</v>
      </c>
      <c r="I225" s="99">
        <f t="shared" si="13"/>
        <v>285000000</v>
      </c>
      <c r="J225" s="99">
        <f t="shared" si="20"/>
        <v>0</v>
      </c>
      <c r="K225" s="99">
        <f t="shared" si="17"/>
        <v>285000000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57</v>
      </c>
      <c r="H226" s="99">
        <f t="shared" si="15"/>
        <v>0</v>
      </c>
      <c r="I226" s="99">
        <f t="shared" si="13"/>
        <v>-182400000</v>
      </c>
      <c r="J226" s="99">
        <f t="shared" si="20"/>
        <v>0</v>
      </c>
      <c r="K226" s="99">
        <f t="shared" si="17"/>
        <v>-182400000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57</v>
      </c>
      <c r="H227" s="99">
        <f t="shared" si="15"/>
        <v>1</v>
      </c>
      <c r="I227" s="99">
        <f t="shared" si="13"/>
        <v>134400000</v>
      </c>
      <c r="J227" s="99">
        <f t="shared" si="20"/>
        <v>0</v>
      </c>
      <c r="K227" s="99">
        <f t="shared" si="17"/>
        <v>134400000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55</v>
      </c>
      <c r="H228" s="99">
        <f t="shared" si="15"/>
        <v>0</v>
      </c>
      <c r="I228" s="99">
        <f t="shared" si="13"/>
        <v>-2750000</v>
      </c>
      <c r="J228" s="99">
        <f t="shared" si="20"/>
        <v>0</v>
      </c>
      <c r="K228" s="99">
        <f t="shared" si="17"/>
        <v>-2750000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54</v>
      </c>
      <c r="H229" s="99">
        <f t="shared" si="15"/>
        <v>0</v>
      </c>
      <c r="I229" s="99">
        <f t="shared" si="13"/>
        <v>-221437800</v>
      </c>
      <c r="J229" s="99">
        <f t="shared" si="20"/>
        <v>0</v>
      </c>
      <c r="K229" s="99">
        <f t="shared" si="17"/>
        <v>-221437800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50</v>
      </c>
      <c r="H230" s="99">
        <f t="shared" si="15"/>
        <v>1</v>
      </c>
      <c r="I230" s="99">
        <f t="shared" si="13"/>
        <v>475300000</v>
      </c>
      <c r="J230" s="99">
        <f t="shared" si="20"/>
        <v>0</v>
      </c>
      <c r="K230" s="99">
        <f t="shared" si="17"/>
        <v>475300000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50</v>
      </c>
      <c r="H231" s="99">
        <f t="shared" si="15"/>
        <v>0</v>
      </c>
      <c r="I231" s="99">
        <f t="shared" si="13"/>
        <v>-150045000</v>
      </c>
      <c r="J231" s="99">
        <f t="shared" si="20"/>
        <v>0</v>
      </c>
      <c r="K231" s="99">
        <f t="shared" si="17"/>
        <v>-150045000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49</v>
      </c>
      <c r="H232" s="99">
        <f t="shared" si="15"/>
        <v>0</v>
      </c>
      <c r="I232" s="99">
        <f t="shared" si="13"/>
        <v>-147044100</v>
      </c>
      <c r="J232" s="99">
        <f t="shared" si="20"/>
        <v>0</v>
      </c>
      <c r="K232" s="99">
        <f t="shared" si="17"/>
        <v>-147044100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49</v>
      </c>
      <c r="H233" s="99">
        <f t="shared" si="15"/>
        <v>0</v>
      </c>
      <c r="I233" s="99">
        <f t="shared" si="13"/>
        <v>-27195000</v>
      </c>
      <c r="J233" s="99">
        <f t="shared" si="20"/>
        <v>0</v>
      </c>
      <c r="K233" s="99">
        <f t="shared" si="17"/>
        <v>-27195000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48</v>
      </c>
      <c r="H234" s="99">
        <f t="shared" si="15"/>
        <v>0</v>
      </c>
      <c r="I234" s="99">
        <f t="shared" si="13"/>
        <v>-6641280</v>
      </c>
      <c r="J234" s="99">
        <f t="shared" si="20"/>
        <v>0</v>
      </c>
      <c r="K234" s="99">
        <f t="shared" si="17"/>
        <v>-6641280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47</v>
      </c>
      <c r="H235" s="99">
        <f t="shared" si="15"/>
        <v>0</v>
      </c>
      <c r="I235" s="99">
        <f t="shared" si="13"/>
        <v>-141042300</v>
      </c>
      <c r="J235" s="99">
        <f t="shared" si="20"/>
        <v>0</v>
      </c>
      <c r="K235" s="99">
        <f t="shared" si="17"/>
        <v>-141042300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45</v>
      </c>
      <c r="H236" s="99">
        <f t="shared" si="15"/>
        <v>0</v>
      </c>
      <c r="I236" s="99">
        <f t="shared" si="13"/>
        <v>-2475000</v>
      </c>
      <c r="J236" s="99">
        <f t="shared" si="20"/>
        <v>0</v>
      </c>
      <c r="K236" s="99">
        <f t="shared" si="17"/>
        <v>-2475000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41</v>
      </c>
      <c r="H237" s="99">
        <f t="shared" si="15"/>
        <v>1</v>
      </c>
      <c r="I237" s="99">
        <f t="shared" si="13"/>
        <v>241400000</v>
      </c>
      <c r="J237" s="99">
        <f t="shared" si="20"/>
        <v>0</v>
      </c>
      <c r="K237" s="99">
        <f t="shared" si="17"/>
        <v>241400000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39</v>
      </c>
      <c r="H238" s="99">
        <f t="shared" si="15"/>
        <v>0</v>
      </c>
      <c r="I238" s="99">
        <f t="shared" si="13"/>
        <v>-292500</v>
      </c>
      <c r="J238" s="99">
        <f t="shared" si="20"/>
        <v>0</v>
      </c>
      <c r="K238" s="99">
        <f t="shared" si="17"/>
        <v>-292500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38</v>
      </c>
      <c r="H239" s="99">
        <f t="shared" si="15"/>
        <v>0</v>
      </c>
      <c r="I239" s="99">
        <f t="shared" si="13"/>
        <v>-155743874</v>
      </c>
      <c r="J239" s="99">
        <f t="shared" si="20"/>
        <v>0</v>
      </c>
      <c r="K239" s="99">
        <f t="shared" si="17"/>
        <v>-155743874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38</v>
      </c>
      <c r="H240" s="99">
        <f t="shared" si="15"/>
        <v>0</v>
      </c>
      <c r="I240" s="99">
        <f t="shared" si="13"/>
        <v>-1262550</v>
      </c>
      <c r="J240" s="99">
        <f t="shared" si="20"/>
        <v>0</v>
      </c>
      <c r="K240" s="99">
        <f t="shared" si="17"/>
        <v>-1262550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38</v>
      </c>
      <c r="H241" s="99">
        <f t="shared" si="15"/>
        <v>0</v>
      </c>
      <c r="I241" s="99">
        <f t="shared" si="13"/>
        <v>-72010000</v>
      </c>
      <c r="J241" s="99">
        <f t="shared" si="20"/>
        <v>0</v>
      </c>
      <c r="K241" s="99">
        <f t="shared" si="17"/>
        <v>-72010000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31</v>
      </c>
      <c r="H242" s="99">
        <f t="shared" si="15"/>
        <v>1</v>
      </c>
      <c r="I242" s="99">
        <f t="shared" si="13"/>
        <v>75000000</v>
      </c>
      <c r="J242" s="99">
        <f t="shared" si="20"/>
        <v>0</v>
      </c>
      <c r="K242" s="99">
        <f t="shared" si="17"/>
        <v>75000000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29</v>
      </c>
      <c r="H243" s="99">
        <f t="shared" si="15"/>
        <v>0</v>
      </c>
      <c r="I243" s="99">
        <f t="shared" si="13"/>
        <v>-72500000</v>
      </c>
      <c r="J243" s="99">
        <f t="shared" si="20"/>
        <v>0</v>
      </c>
      <c r="K243" s="99">
        <f t="shared" si="17"/>
        <v>-72500000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27</v>
      </c>
      <c r="H244" s="99">
        <f t="shared" si="15"/>
        <v>1</v>
      </c>
      <c r="I244" s="99">
        <f t="shared" si="13"/>
        <v>28600000</v>
      </c>
      <c r="J244" s="99">
        <f t="shared" si="20"/>
        <v>0</v>
      </c>
      <c r="K244" s="99">
        <f t="shared" si="17"/>
        <v>28600000</v>
      </c>
    </row>
    <row r="245" spans="1:13">
      <c r="A245" s="99" t="s">
        <v>4466</v>
      </c>
      <c r="B245" s="18">
        <v>3000000</v>
      </c>
      <c r="C245" s="18">
        <v>0</v>
      </c>
      <c r="D245" s="18">
        <f t="shared" si="18"/>
        <v>3000000</v>
      </c>
      <c r="E245" s="99" t="s">
        <v>4468</v>
      </c>
      <c r="F245" s="99">
        <v>2</v>
      </c>
      <c r="G245" s="36">
        <f t="shared" si="21"/>
        <v>25</v>
      </c>
      <c r="H245" s="99">
        <f t="shared" si="15"/>
        <v>1</v>
      </c>
      <c r="I245" s="99">
        <f t="shared" si="13"/>
        <v>72000000</v>
      </c>
      <c r="J245" s="99">
        <f t="shared" si="20"/>
        <v>0</v>
      </c>
      <c r="K245" s="99">
        <f t="shared" si="17"/>
        <v>72000000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4502</v>
      </c>
      <c r="F246" s="99">
        <v>0</v>
      </c>
      <c r="G246" s="36">
        <f t="shared" si="21"/>
        <v>23</v>
      </c>
      <c r="H246" s="99">
        <f t="shared" si="15"/>
        <v>0</v>
      </c>
      <c r="I246" s="99">
        <f t="shared" si="13"/>
        <v>-92936100</v>
      </c>
      <c r="J246" s="99">
        <f t="shared" si="20"/>
        <v>0</v>
      </c>
      <c r="K246" s="99">
        <f t="shared" si="17"/>
        <v>-92936100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23</v>
      </c>
      <c r="H247" s="99">
        <f t="shared" si="15"/>
        <v>1</v>
      </c>
      <c r="I247" s="99">
        <f t="shared" si="13"/>
        <v>10780000</v>
      </c>
      <c r="J247" s="99">
        <f t="shared" si="20"/>
        <v>0</v>
      </c>
      <c r="K247" s="99">
        <f t="shared" si="17"/>
        <v>10780000</v>
      </c>
    </row>
    <row r="248" spans="1:13">
      <c r="A248" s="99" t="s">
        <v>4507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22</v>
      </c>
      <c r="H248" s="99">
        <f t="shared" si="15"/>
        <v>1</v>
      </c>
      <c r="I248" s="99">
        <f t="shared" si="13"/>
        <v>29400000</v>
      </c>
      <c r="J248" s="99">
        <f t="shared" si="20"/>
        <v>0</v>
      </c>
      <c r="K248" s="99">
        <f t="shared" si="17"/>
        <v>29400000</v>
      </c>
      <c r="M248" t="s">
        <v>25</v>
      </c>
    </row>
    <row r="249" spans="1:13">
      <c r="A249" s="99" t="s">
        <v>4507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22</v>
      </c>
      <c r="H249" s="99">
        <f t="shared" si="15"/>
        <v>0</v>
      </c>
      <c r="I249" s="99">
        <f t="shared" si="13"/>
        <v>-33000000</v>
      </c>
      <c r="J249" s="99">
        <f t="shared" si="20"/>
        <v>0</v>
      </c>
      <c r="K249" s="99">
        <f t="shared" si="17"/>
        <v>-33000000</v>
      </c>
    </row>
    <row r="250" spans="1:13">
      <c r="A250" s="99" t="s">
        <v>4516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21</v>
      </c>
      <c r="H250" s="99">
        <f t="shared" si="15"/>
        <v>0</v>
      </c>
      <c r="I250" s="99">
        <f t="shared" si="13"/>
        <v>-2100000</v>
      </c>
      <c r="J250" s="99">
        <f t="shared" si="20"/>
        <v>0</v>
      </c>
      <c r="K250" s="99">
        <f t="shared" si="17"/>
        <v>-2100000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20</v>
      </c>
      <c r="H251" s="99">
        <f t="shared" si="15"/>
        <v>0</v>
      </c>
      <c r="I251" s="99">
        <f t="shared" si="13"/>
        <v>-278000</v>
      </c>
      <c r="J251" s="99">
        <f t="shared" si="20"/>
        <v>0</v>
      </c>
      <c r="K251" s="99">
        <f t="shared" si="17"/>
        <v>-278000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20</v>
      </c>
      <c r="H252" s="99">
        <f t="shared" si="15"/>
        <v>1</v>
      </c>
      <c r="I252" s="99">
        <f t="shared" si="13"/>
        <v>5700000</v>
      </c>
      <c r="J252" s="99">
        <f t="shared" si="20"/>
        <v>0</v>
      </c>
      <c r="K252" s="99">
        <f t="shared" si="17"/>
        <v>5700000</v>
      </c>
    </row>
    <row r="253" spans="1:13">
      <c r="A253" s="99" t="s">
        <v>4527</v>
      </c>
      <c r="B253" s="18">
        <v>12000000</v>
      </c>
      <c r="C253" s="18">
        <v>0</v>
      </c>
      <c r="D253" s="18">
        <f t="shared" si="18"/>
        <v>12000000</v>
      </c>
      <c r="E253" s="99" t="s">
        <v>4528</v>
      </c>
      <c r="F253" s="99">
        <v>1</v>
      </c>
      <c r="G253" s="36">
        <f t="shared" si="21"/>
        <v>18</v>
      </c>
      <c r="H253" s="99">
        <f t="shared" si="15"/>
        <v>1</v>
      </c>
      <c r="I253" s="99">
        <f t="shared" si="13"/>
        <v>204000000</v>
      </c>
      <c r="J253" s="99">
        <f t="shared" si="20"/>
        <v>0</v>
      </c>
      <c r="K253" s="99">
        <f t="shared" si="17"/>
        <v>204000000</v>
      </c>
    </row>
    <row r="254" spans="1:13">
      <c r="A254" s="99" t="s">
        <v>4529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17</v>
      </c>
      <c r="H254" s="99">
        <f t="shared" si="15"/>
        <v>1</v>
      </c>
      <c r="I254" s="99">
        <f t="shared" si="13"/>
        <v>48000000</v>
      </c>
      <c r="J254" s="99">
        <f t="shared" si="20"/>
        <v>0</v>
      </c>
      <c r="K254" s="99">
        <f t="shared" si="17"/>
        <v>48000000</v>
      </c>
    </row>
    <row r="255" spans="1:13">
      <c r="A255" s="99" t="s">
        <v>4531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16</v>
      </c>
      <c r="H255" s="99">
        <f t="shared" si="15"/>
        <v>0</v>
      </c>
      <c r="I255" s="99">
        <f t="shared" si="13"/>
        <v>-224000000</v>
      </c>
      <c r="J255" s="99">
        <f t="shared" si="20"/>
        <v>0</v>
      </c>
      <c r="K255" s="99">
        <f t="shared" si="17"/>
        <v>-224000000</v>
      </c>
    </row>
    <row r="256" spans="1:13">
      <c r="A256" s="99" t="s">
        <v>4533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15</v>
      </c>
      <c r="H256" s="99">
        <f t="shared" si="15"/>
        <v>0</v>
      </c>
      <c r="I256" s="99">
        <f t="shared" si="13"/>
        <v>-1874535</v>
      </c>
      <c r="J256" s="99">
        <f t="shared" si="20"/>
        <v>0</v>
      </c>
      <c r="K256" s="99">
        <f t="shared" si="17"/>
        <v>-1874535</v>
      </c>
    </row>
    <row r="257" spans="1:13">
      <c r="A257" s="99" t="s">
        <v>4533</v>
      </c>
      <c r="B257" s="18">
        <v>0</v>
      </c>
      <c r="C257" s="39">
        <v>-7968789</v>
      </c>
      <c r="D257" s="39">
        <f t="shared" si="18"/>
        <v>7968789</v>
      </c>
      <c r="E257" s="99" t="s">
        <v>4537</v>
      </c>
      <c r="F257" s="99">
        <v>1</v>
      </c>
      <c r="G257" s="36">
        <f t="shared" si="21"/>
        <v>15</v>
      </c>
      <c r="H257" s="99">
        <f t="shared" si="15"/>
        <v>0</v>
      </c>
      <c r="I257" s="99">
        <f t="shared" si="13"/>
        <v>0</v>
      </c>
      <c r="J257" s="99">
        <f t="shared" si="20"/>
        <v>-119531835</v>
      </c>
      <c r="K257" s="99">
        <f t="shared" si="17"/>
        <v>119531835</v>
      </c>
    </row>
    <row r="258" spans="1:13">
      <c r="A258" s="99" t="s">
        <v>4539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14</v>
      </c>
      <c r="H258" s="99">
        <f t="shared" si="15"/>
        <v>0</v>
      </c>
      <c r="I258" s="99">
        <f t="shared" si="13"/>
        <v>-18382000</v>
      </c>
      <c r="J258" s="99">
        <f t="shared" si="20"/>
        <v>0</v>
      </c>
      <c r="K258" s="99">
        <f t="shared" si="17"/>
        <v>-18382000</v>
      </c>
    </row>
    <row r="259" spans="1:13">
      <c r="A259" s="99" t="s">
        <v>4556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11</v>
      </c>
      <c r="H259" s="99">
        <f t="shared" si="15"/>
        <v>1</v>
      </c>
      <c r="I259" s="99">
        <f t="shared" si="13"/>
        <v>20000000</v>
      </c>
      <c r="J259" s="99">
        <f t="shared" si="20"/>
        <v>0</v>
      </c>
      <c r="K259" s="99">
        <f t="shared" si="17"/>
        <v>20000000</v>
      </c>
      <c r="M259" t="s">
        <v>25</v>
      </c>
    </row>
    <row r="260" spans="1:13">
      <c r="A260" s="99" t="s">
        <v>4557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10</v>
      </c>
      <c r="H260" s="99">
        <f t="shared" si="15"/>
        <v>0</v>
      </c>
      <c r="I260" s="99">
        <f t="shared" si="13"/>
        <v>-19000000</v>
      </c>
      <c r="J260" s="99">
        <f t="shared" si="20"/>
        <v>0</v>
      </c>
      <c r="K260" s="99">
        <f t="shared" si="17"/>
        <v>-19000000</v>
      </c>
    </row>
    <row r="261" spans="1:13">
      <c r="A261" s="99" t="s">
        <v>4557</v>
      </c>
      <c r="B261" s="18">
        <v>-100500</v>
      </c>
      <c r="C261" s="18">
        <v>0</v>
      </c>
      <c r="D261" s="18">
        <f t="shared" si="18"/>
        <v>-100500</v>
      </c>
      <c r="E261" s="99" t="s">
        <v>4561</v>
      </c>
      <c r="F261" s="99">
        <v>0</v>
      </c>
      <c r="G261" s="36">
        <f t="shared" si="21"/>
        <v>10</v>
      </c>
      <c r="H261" s="99">
        <f t="shared" si="15"/>
        <v>0</v>
      </c>
      <c r="I261" s="99">
        <f t="shared" si="13"/>
        <v>-1005000</v>
      </c>
      <c r="J261" s="99">
        <f t="shared" si="20"/>
        <v>0</v>
      </c>
      <c r="K261" s="99">
        <f t="shared" si="17"/>
        <v>-1005000</v>
      </c>
    </row>
    <row r="262" spans="1:13">
      <c r="A262" s="99" t="s">
        <v>4557</v>
      </c>
      <c r="B262" s="18">
        <v>-68670</v>
      </c>
      <c r="C262" s="18">
        <v>0</v>
      </c>
      <c r="D262" s="18">
        <f t="shared" si="18"/>
        <v>-68670</v>
      </c>
      <c r="E262" s="99" t="s">
        <v>4566</v>
      </c>
      <c r="F262" s="99">
        <v>1</v>
      </c>
      <c r="G262" s="36">
        <f t="shared" si="21"/>
        <v>10</v>
      </c>
      <c r="H262" s="99">
        <f t="shared" si="15"/>
        <v>0</v>
      </c>
      <c r="I262" s="99">
        <f t="shared" si="13"/>
        <v>-686700</v>
      </c>
      <c r="J262" s="99">
        <f t="shared" si="20"/>
        <v>0</v>
      </c>
      <c r="K262" s="99">
        <f t="shared" si="17"/>
        <v>-686700</v>
      </c>
    </row>
    <row r="263" spans="1:13">
      <c r="A263" s="99" t="s">
        <v>4562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9</v>
      </c>
      <c r="H263" s="99">
        <f t="shared" si="15"/>
        <v>0</v>
      </c>
      <c r="I263" s="99">
        <f t="shared" si="13"/>
        <v>-1067400</v>
      </c>
      <c r="J263" s="99">
        <f t="shared" si="20"/>
        <v>0</v>
      </c>
      <c r="K263" s="99">
        <f t="shared" si="17"/>
        <v>-1067400</v>
      </c>
      <c r="L263" t="s">
        <v>25</v>
      </c>
    </row>
    <row r="264" spans="1:13">
      <c r="A264" s="99" t="s">
        <v>4578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7</v>
      </c>
      <c r="H264" s="99">
        <f t="shared" si="15"/>
        <v>1</v>
      </c>
      <c r="I264" s="99">
        <f t="shared" si="13"/>
        <v>40674000</v>
      </c>
      <c r="J264" s="99">
        <f t="shared" si="20"/>
        <v>0</v>
      </c>
      <c r="K264" s="99">
        <f t="shared" si="17"/>
        <v>40674000</v>
      </c>
    </row>
    <row r="265" spans="1:13">
      <c r="A265" s="99" t="s">
        <v>4578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7</v>
      </c>
      <c r="H265" s="99">
        <f t="shared" si="15"/>
        <v>0</v>
      </c>
      <c r="I265" s="99">
        <f t="shared" si="13"/>
        <v>-44800000</v>
      </c>
      <c r="J265" s="99">
        <f t="shared" si="20"/>
        <v>0</v>
      </c>
      <c r="K265" s="99">
        <f t="shared" si="17"/>
        <v>-44800000</v>
      </c>
    </row>
    <row r="266" spans="1:13">
      <c r="A266" s="99" t="s">
        <v>4578</v>
      </c>
      <c r="B266" s="18">
        <v>-389000</v>
      </c>
      <c r="C266" s="18">
        <v>0</v>
      </c>
      <c r="D266" s="18">
        <f t="shared" si="18"/>
        <v>-389000</v>
      </c>
      <c r="E266" s="99" t="s">
        <v>4585</v>
      </c>
      <c r="F266" s="99">
        <v>4</v>
      </c>
      <c r="G266" s="36">
        <f t="shared" si="21"/>
        <v>7</v>
      </c>
      <c r="H266" s="99">
        <f t="shared" si="15"/>
        <v>0</v>
      </c>
      <c r="I266" s="99">
        <f t="shared" si="13"/>
        <v>-2723000</v>
      </c>
      <c r="J266" s="99">
        <f t="shared" si="20"/>
        <v>0</v>
      </c>
      <c r="K266" s="99">
        <f t="shared" si="17"/>
        <v>-2723000</v>
      </c>
      <c r="M266" t="s">
        <v>25</v>
      </c>
    </row>
    <row r="267" spans="1:13">
      <c r="A267" s="99" t="s">
        <v>4614</v>
      </c>
      <c r="B267" s="18">
        <v>220000</v>
      </c>
      <c r="C267" s="18">
        <v>0</v>
      </c>
      <c r="D267" s="18">
        <f t="shared" si="18"/>
        <v>220000</v>
      </c>
      <c r="E267" s="99" t="s">
        <v>3893</v>
      </c>
      <c r="F267" s="99">
        <v>0</v>
      </c>
      <c r="G267" s="36">
        <f t="shared" si="21"/>
        <v>3</v>
      </c>
      <c r="H267" s="99">
        <f t="shared" si="15"/>
        <v>1</v>
      </c>
      <c r="I267" s="99">
        <f t="shared" si="13"/>
        <v>440000</v>
      </c>
      <c r="J267" s="99">
        <f t="shared" si="20"/>
        <v>0</v>
      </c>
      <c r="K267" s="99">
        <f t="shared" si="17"/>
        <v>440000</v>
      </c>
    </row>
    <row r="268" spans="1:13">
      <c r="A268" s="99" t="s">
        <v>4615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</v>
      </c>
      <c r="H268" s="99">
        <f t="shared" si="15"/>
        <v>0</v>
      </c>
      <c r="I268" s="99">
        <f t="shared" si="13"/>
        <v>-328170</v>
      </c>
      <c r="J268" s="99">
        <f t="shared" si="20"/>
        <v>0</v>
      </c>
      <c r="K268" s="99">
        <f t="shared" si="17"/>
        <v>-328170</v>
      </c>
    </row>
    <row r="269" spans="1:13">
      <c r="A269" s="99" t="s">
        <v>4620</v>
      </c>
      <c r="B269" s="18">
        <v>100000</v>
      </c>
      <c r="C269" s="18">
        <v>0</v>
      </c>
      <c r="D269" s="18">
        <f t="shared" si="18"/>
        <v>100000</v>
      </c>
      <c r="E269" s="99" t="s">
        <v>3893</v>
      </c>
      <c r="F269" s="99">
        <v>0</v>
      </c>
      <c r="G269" s="36">
        <f t="shared" si="21"/>
        <v>1</v>
      </c>
      <c r="H269" s="99">
        <f t="shared" si="15"/>
        <v>1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3">
      <c r="A270" s="99" t="s">
        <v>4620</v>
      </c>
      <c r="B270" s="18">
        <v>2600000</v>
      </c>
      <c r="C270" s="18">
        <v>0</v>
      </c>
      <c r="D270" s="18">
        <f t="shared" si="18"/>
        <v>2600000</v>
      </c>
      <c r="E270" s="99" t="s">
        <v>3893</v>
      </c>
      <c r="F270" s="99">
        <v>1</v>
      </c>
      <c r="G270" s="36">
        <f t="shared" si="21"/>
        <v>1</v>
      </c>
      <c r="H270" s="99">
        <f t="shared" si="15"/>
        <v>1</v>
      </c>
      <c r="I270" s="99">
        <f t="shared" si="13"/>
        <v>0</v>
      </c>
      <c r="J270" s="99">
        <f t="shared" si="20"/>
        <v>0</v>
      </c>
      <c r="K270" s="99">
        <f t="shared" si="17"/>
        <v>0</v>
      </c>
      <c r="L270" t="s">
        <v>25</v>
      </c>
    </row>
    <row r="271" spans="1:13">
      <c r="A271" s="99"/>
      <c r="B271" s="18"/>
      <c r="C271" s="18"/>
      <c r="D271" s="18"/>
      <c r="E271" s="99"/>
      <c r="F271" s="99"/>
      <c r="G271" s="36">
        <f t="shared" si="21"/>
        <v>0</v>
      </c>
      <c r="H271" s="99">
        <f t="shared" si="15"/>
        <v>0</v>
      </c>
      <c r="I271" s="99">
        <f t="shared" si="13"/>
        <v>0</v>
      </c>
      <c r="J271" s="99">
        <f t="shared" si="20"/>
        <v>0</v>
      </c>
      <c r="K271" s="99">
        <f t="shared" si="17"/>
        <v>0</v>
      </c>
    </row>
    <row r="272" spans="1:13">
      <c r="A272" s="99"/>
      <c r="B272" s="18"/>
      <c r="C272" s="18"/>
      <c r="D272" s="18"/>
      <c r="E272" s="99"/>
      <c r="F272" s="99"/>
      <c r="G272" s="36">
        <f t="shared" si="21"/>
        <v>0</v>
      </c>
      <c r="H272" s="99">
        <f t="shared" si="15"/>
        <v>0</v>
      </c>
      <c r="I272" s="99">
        <f t="shared" si="13"/>
        <v>0</v>
      </c>
      <c r="J272" s="99">
        <f t="shared" si="20"/>
        <v>0</v>
      </c>
      <c r="K272" s="99">
        <f t="shared" si="17"/>
        <v>0</v>
      </c>
    </row>
    <row r="273" spans="1:11">
      <c r="A273" s="99"/>
      <c r="B273" s="18"/>
      <c r="C273" s="18"/>
      <c r="D273" s="18"/>
      <c r="E273" s="99"/>
      <c r="F273" s="99"/>
      <c r="G273" s="36">
        <f t="shared" si="21"/>
        <v>0</v>
      </c>
      <c r="H273" s="99">
        <f t="shared" si="15"/>
        <v>0</v>
      </c>
      <c r="I273" s="99">
        <f t="shared" si="13"/>
        <v>0</v>
      </c>
      <c r="J273" s="99">
        <f t="shared" si="20"/>
        <v>0</v>
      </c>
      <c r="K273" s="99">
        <f t="shared" si="17"/>
        <v>0</v>
      </c>
    </row>
    <row r="274" spans="1:11">
      <c r="A274" s="99"/>
      <c r="B274" s="18"/>
      <c r="C274" s="18"/>
      <c r="D274" s="18"/>
      <c r="E274" s="99"/>
      <c r="F274" s="99"/>
      <c r="G274" s="36">
        <f t="shared" si="21"/>
        <v>0</v>
      </c>
      <c r="H274" s="99">
        <f t="shared" si="15"/>
        <v>0</v>
      </c>
      <c r="I274" s="99">
        <f t="shared" si="13"/>
        <v>0</v>
      </c>
      <c r="J274" s="99">
        <f t="shared" si="20"/>
        <v>0</v>
      </c>
      <c r="K274" s="99">
        <f t="shared" si="17"/>
        <v>0</v>
      </c>
    </row>
    <row r="275" spans="1:11">
      <c r="A275" s="99"/>
      <c r="B275" s="18"/>
      <c r="C275" s="18"/>
      <c r="D275" s="18"/>
      <c r="E275" s="99"/>
      <c r="F275" s="99"/>
      <c r="G275" s="36">
        <f t="shared" si="21"/>
        <v>0</v>
      </c>
      <c r="H275" s="99">
        <f t="shared" si="15"/>
        <v>0</v>
      </c>
      <c r="I275" s="99">
        <f t="shared" si="13"/>
        <v>0</v>
      </c>
      <c r="J275" s="99">
        <f t="shared" si="20"/>
        <v>0</v>
      </c>
      <c r="K275" s="99">
        <f t="shared" si="17"/>
        <v>0</v>
      </c>
    </row>
    <row r="276" spans="1:11">
      <c r="A276" s="11"/>
      <c r="B276" s="18"/>
      <c r="C276" s="18"/>
      <c r="D276" s="18">
        <f t="shared" si="18"/>
        <v>0</v>
      </c>
      <c r="E276" s="11"/>
      <c r="F276" s="11">
        <v>0</v>
      </c>
      <c r="G276" s="36">
        <f t="shared" si="19"/>
        <v>0</v>
      </c>
      <c r="H276" s="99">
        <f t="shared" si="15"/>
        <v>0</v>
      </c>
      <c r="I276" s="99">
        <f t="shared" si="13"/>
        <v>0</v>
      </c>
      <c r="J276" s="99">
        <f t="shared" si="20"/>
        <v>0</v>
      </c>
      <c r="K276" s="99">
        <f t="shared" si="17"/>
        <v>0</v>
      </c>
    </row>
    <row r="277" spans="1:11">
      <c r="A277" s="11"/>
      <c r="B277" s="29">
        <f>SUM(B2:B276)</f>
        <v>2818041</v>
      </c>
      <c r="C277" s="29">
        <f>SUM(C2:C276)</f>
        <v>0</v>
      </c>
      <c r="D277" s="29">
        <f>SUM(D2:D276)</f>
        <v>2818041</v>
      </c>
      <c r="E277" s="11"/>
      <c r="F277" s="11"/>
      <c r="G277" s="11"/>
      <c r="H277" s="11"/>
      <c r="I277" s="29">
        <f>SUM(I2:I276)</f>
        <v>18827701056</v>
      </c>
      <c r="J277" s="29">
        <f>SUM(J2:J276)</f>
        <v>8687685429</v>
      </c>
      <c r="K277" s="29">
        <f>SUM(K2:K276)</f>
        <v>10140015627</v>
      </c>
    </row>
    <row r="278" spans="1:11">
      <c r="A278" s="11"/>
      <c r="B278" s="11" t="s">
        <v>283</v>
      </c>
      <c r="C278" s="11" t="s">
        <v>488</v>
      </c>
      <c r="D278" s="11" t="s">
        <v>489</v>
      </c>
      <c r="E278" s="11"/>
      <c r="F278" s="11"/>
      <c r="G278" s="11"/>
      <c r="H278" s="11"/>
      <c r="I278" s="11" t="s">
        <v>485</v>
      </c>
      <c r="J278" s="11" t="s">
        <v>486</v>
      </c>
      <c r="K278" s="11" t="s">
        <v>487</v>
      </c>
    </row>
    <row r="279" spans="1:1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>
      <c r="A280" s="11"/>
      <c r="B280" s="11"/>
      <c r="C280" s="11"/>
      <c r="D280" s="11"/>
      <c r="E280" s="11"/>
      <c r="F280" s="11"/>
      <c r="G280" s="11"/>
      <c r="H280" s="11"/>
      <c r="I280" s="3">
        <f>I277/G2</f>
        <v>19037109.257836197</v>
      </c>
      <c r="J280" s="29">
        <f>J277/G2</f>
        <v>8784312.8705763388</v>
      </c>
      <c r="K280" s="29">
        <f>K277/G2</f>
        <v>10252796.387259858</v>
      </c>
    </row>
    <row r="281" spans="1:11">
      <c r="A281" s="11"/>
      <c r="B281" s="11"/>
      <c r="C281" s="11"/>
      <c r="D281" s="11"/>
      <c r="E281" s="11"/>
      <c r="F281" s="11"/>
      <c r="G281" s="11"/>
      <c r="H281" s="11"/>
      <c r="I281" s="11" t="s">
        <v>491</v>
      </c>
      <c r="J281" s="11" t="s">
        <v>492</v>
      </c>
      <c r="K281" s="11" t="s">
        <v>493</v>
      </c>
    </row>
    <row r="284" spans="1:11" ht="30">
      <c r="B284" s="22" t="s">
        <v>854</v>
      </c>
      <c r="D284" s="98">
        <f>D277-D151+D152</f>
        <v>4014680</v>
      </c>
      <c r="G284" t="s">
        <v>25</v>
      </c>
      <c r="J284">
        <f>J277/I277*1448696</f>
        <v>668473.28268151695</v>
      </c>
      <c r="K284">
        <f>K277/I277*1448696</f>
        <v>780222.71731848305</v>
      </c>
    </row>
    <row r="285" spans="1:11">
      <c r="B285" s="7"/>
    </row>
    <row r="286" spans="1:11">
      <c r="B28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4466</v>
      </c>
      <c r="B6" s="18">
        <v>3000000</v>
      </c>
      <c r="C6" s="18">
        <v>0</v>
      </c>
      <c r="D6" s="113">
        <f t="shared" si="0"/>
        <v>3000000</v>
      </c>
      <c r="E6" s="19" t="s">
        <v>4467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4498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4507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4507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4516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4527</v>
      </c>
      <c r="B16" s="18">
        <v>12000000</v>
      </c>
      <c r="C16" s="18">
        <v>0</v>
      </c>
      <c r="D16" s="113">
        <f t="shared" si="0"/>
        <v>12000000</v>
      </c>
      <c r="E16" s="20" t="s">
        <v>4528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4529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4531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4533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4533</v>
      </c>
      <c r="B20" s="18">
        <v>0</v>
      </c>
      <c r="C20" s="18">
        <v>-8034286</v>
      </c>
      <c r="D20" s="113">
        <f t="shared" si="0"/>
        <v>8034286</v>
      </c>
      <c r="E20" s="19" t="s">
        <v>4537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4533</v>
      </c>
      <c r="B21" s="18">
        <v>-10000</v>
      </c>
      <c r="C21" s="18">
        <v>0</v>
      </c>
      <c r="D21" s="113">
        <f t="shared" si="0"/>
        <v>-10000</v>
      </c>
      <c r="E21" s="19" t="s">
        <v>4538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4539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4556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4557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4557</v>
      </c>
      <c r="B25" s="18">
        <v>-100500</v>
      </c>
      <c r="C25" s="18">
        <v>0</v>
      </c>
      <c r="D25" s="113">
        <f t="shared" si="0"/>
        <v>-100500</v>
      </c>
      <c r="E25" s="19" t="s">
        <v>4561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4557</v>
      </c>
      <c r="B26" s="18">
        <v>-68670</v>
      </c>
      <c r="C26" s="18">
        <v>0</v>
      </c>
      <c r="D26" s="113">
        <f t="shared" si="0"/>
        <v>-68670</v>
      </c>
      <c r="E26" s="19" t="s">
        <v>4566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4562</v>
      </c>
      <c r="B27" s="18">
        <v>-118600</v>
      </c>
      <c r="C27" s="18">
        <v>0</v>
      </c>
      <c r="D27" s="113">
        <f t="shared" si="0"/>
        <v>-118600</v>
      </c>
      <c r="E27" s="19" t="s">
        <v>4568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4578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4578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4578</v>
      </c>
      <c r="B30" s="18">
        <v>-389000</v>
      </c>
      <c r="C30" s="18">
        <v>0</v>
      </c>
      <c r="D30" s="113">
        <f t="shared" si="0"/>
        <v>-389000</v>
      </c>
      <c r="E30" s="19" t="s">
        <v>4584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4499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4519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4567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4579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1260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10400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3089159.1254019286</v>
      </c>
      <c r="C8" s="99">
        <f>B2*B4*B5/(B1*B3)+B7/B6</f>
        <v>297.03453128864703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3700000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610840.87459807144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4605</v>
      </c>
      <c r="B1" t="s">
        <v>4608</v>
      </c>
      <c r="C1" t="s">
        <v>4609</v>
      </c>
    </row>
    <row r="2" spans="1:3">
      <c r="A2" t="s">
        <v>4606</v>
      </c>
      <c r="B2" t="s">
        <v>4610</v>
      </c>
      <c r="C2" t="s">
        <v>4611</v>
      </c>
    </row>
    <row r="3" spans="1:3">
      <c r="A3" t="s">
        <v>4607</v>
      </c>
      <c r="B3" t="s">
        <v>4609</v>
      </c>
      <c r="C3" t="s">
        <v>4612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3"/>
  <sheetViews>
    <sheetView tabSelected="1" topLeftCell="N116" zoomScaleNormal="100" workbookViewId="0">
      <selection activeCell="P113" sqref="P11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سارا!D277</f>
        <v>2818041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4478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92</v>
      </c>
      <c r="T20" s="169" t="s">
        <v>4319</v>
      </c>
      <c r="U20" s="169">
        <v>192.1</v>
      </c>
      <c r="V20" s="169">
        <f>U20*(1+$N$82+$Q$15*S20/36500)</f>
        <v>207.80904328767124</v>
      </c>
      <c r="W20" s="32">
        <f t="shared" ref="W20:W32" si="4">V20*(1+$W$19/100)</f>
        <v>211.96522415342469</v>
      </c>
      <c r="X20" s="32">
        <f t="shared" ref="X20:X32" si="5">V20*(1+$X$19/100)</f>
        <v>216.1214050191781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4491</v>
      </c>
      <c r="L21" s="117">
        <f>-N31</f>
        <v>76584880.543599099</v>
      </c>
      <c r="M21" s="169" t="s">
        <v>4311</v>
      </c>
      <c r="N21" s="113">
        <f t="shared" ref="N21:N28" si="6">O21*P21</f>
        <v>12026461.5</v>
      </c>
      <c r="O21" s="99">
        <v>72231</v>
      </c>
      <c r="P21" s="190">
        <f>P42</f>
        <v>166.5</v>
      </c>
      <c r="Q21" s="170">
        <v>1450345</v>
      </c>
      <c r="R21" s="169" t="s">
        <v>4315</v>
      </c>
      <c r="S21" s="196">
        <f>S20-36</f>
        <v>56</v>
      </c>
      <c r="T21" s="169" t="s">
        <v>4320</v>
      </c>
      <c r="U21" s="169">
        <v>313.7</v>
      </c>
      <c r="V21" s="169">
        <f>U21*(1+$N$82+$Q$15*S21/36500)</f>
        <v>330.68964821917808</v>
      </c>
      <c r="W21" s="32">
        <f t="shared" si="4"/>
        <v>337.30344118356163</v>
      </c>
      <c r="X21" s="32">
        <f t="shared" si="5"/>
        <v>343.91723414794524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257</v>
      </c>
      <c r="AM21" s="113">
        <f t="shared" ref="AM21:AM101" si="8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235118955.54359913</v>
      </c>
      <c r="G22" s="95">
        <f t="shared" si="0"/>
        <v>32855457.17259416</v>
      </c>
      <c r="H22" s="11"/>
      <c r="I22" s="96"/>
      <c r="J22" s="96"/>
      <c r="K22" s="169" t="s">
        <v>4494</v>
      </c>
      <c r="L22" s="117">
        <f>-'دی 97'!D57</f>
        <v>-1671127</v>
      </c>
      <c r="M22" s="169" t="s">
        <v>4323</v>
      </c>
      <c r="N22" s="113">
        <f t="shared" si="6"/>
        <v>8112238.4000000004</v>
      </c>
      <c r="O22" s="99">
        <v>28504</v>
      </c>
      <c r="P22" s="190">
        <f>P44</f>
        <v>284.60000000000002</v>
      </c>
      <c r="Q22" s="170">
        <v>400069</v>
      </c>
      <c r="R22" s="169" t="s">
        <v>4321</v>
      </c>
      <c r="S22" s="196">
        <f>S21-1</f>
        <v>55</v>
      </c>
      <c r="T22" s="169" t="s">
        <v>4322</v>
      </c>
      <c r="U22" s="169">
        <v>314.8</v>
      </c>
      <c r="V22" s="169">
        <f>U22*(1+$N$82+$Q$15*S22/36500)</f>
        <v>331.60773260273982</v>
      </c>
      <c r="W22" s="32">
        <f t="shared" si="4"/>
        <v>338.23988725479461</v>
      </c>
      <c r="X22" s="32">
        <f t="shared" si="5"/>
        <v>344.8720419068494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256</v>
      </c>
      <c r="AM22" s="113">
        <f t="shared" si="8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32000</v>
      </c>
      <c r="M23" s="169" t="s">
        <v>4410</v>
      </c>
      <c r="N23" s="113">
        <f t="shared" si="6"/>
        <v>3369077.8000000003</v>
      </c>
      <c r="O23" s="99">
        <v>781</v>
      </c>
      <c r="P23" s="99">
        <f>P45</f>
        <v>4313.8</v>
      </c>
      <c r="Q23" s="170">
        <v>7118256</v>
      </c>
      <c r="R23" s="169" t="s">
        <v>4321</v>
      </c>
      <c r="S23" s="196">
        <f>S22</f>
        <v>55</v>
      </c>
      <c r="T23" s="169" t="s">
        <v>4586</v>
      </c>
      <c r="U23" s="169">
        <v>313</v>
      </c>
      <c r="V23" s="169">
        <f>U23*(1+$N$82+$Q$15*S23/36500)</f>
        <v>329.71162739726032</v>
      </c>
      <c r="W23" s="32">
        <f t="shared" si="4"/>
        <v>336.30585994520555</v>
      </c>
      <c r="X23" s="32">
        <f t="shared" si="5"/>
        <v>342.90009249315074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255</v>
      </c>
      <c r="AM23" s="113">
        <f t="shared" si="8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4552</v>
      </c>
      <c r="N24" s="113">
        <f t="shared" si="6"/>
        <v>36727.1</v>
      </c>
      <c r="O24" s="69">
        <v>79</v>
      </c>
      <c r="P24" s="99">
        <f>P47</f>
        <v>464.9</v>
      </c>
      <c r="Q24" s="170">
        <v>595156</v>
      </c>
      <c r="R24" s="169" t="s">
        <v>4408</v>
      </c>
      <c r="S24" s="197">
        <f>S23-16</f>
        <v>39</v>
      </c>
      <c r="T24" s="169" t="s">
        <v>4411</v>
      </c>
      <c r="U24" s="169">
        <v>5808.5</v>
      </c>
      <c r="V24" s="169">
        <f>U24*(1+$N$82+$Q$15*S24/36500)</f>
        <v>6047.3327890410956</v>
      </c>
      <c r="W24" s="32">
        <f t="shared" si="4"/>
        <v>6168.2794448219174</v>
      </c>
      <c r="X24" s="32">
        <f t="shared" si="5"/>
        <v>6289.2261006027393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254</v>
      </c>
      <c r="AM24" s="113">
        <f t="shared" si="8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32</v>
      </c>
      <c r="T25" s="19" t="s">
        <v>4449</v>
      </c>
      <c r="U25" s="169">
        <v>5474</v>
      </c>
      <c r="V25" s="169">
        <f>U25*(1+$N$82+$Q$15*S25/36500)</f>
        <v>5669.6842520547953</v>
      </c>
      <c r="W25" s="32">
        <f t="shared" si="4"/>
        <v>5783.0779370958917</v>
      </c>
      <c r="X25" s="32">
        <f t="shared" si="5"/>
        <v>5896.4716221369872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242</v>
      </c>
      <c r="AM25" s="113">
        <f t="shared" si="8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4480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32</v>
      </c>
      <c r="T26" s="19" t="s">
        <v>4450</v>
      </c>
      <c r="U26" s="169">
        <v>5349</v>
      </c>
      <c r="V26" s="169">
        <f>U26*(1+$N$82+$Q$15*S26/36500)</f>
        <v>5540.2157589041108</v>
      </c>
      <c r="W26" s="32">
        <f t="shared" si="4"/>
        <v>5651.0200740821929</v>
      </c>
      <c r="X26" s="32">
        <f t="shared" si="5"/>
        <v>5761.824389260275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236</v>
      </c>
      <c r="AM26" s="113">
        <f t="shared" si="8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6"/>
        <v>2723773.5</v>
      </c>
      <c r="O27" s="69">
        <v>16359</v>
      </c>
      <c r="P27" s="99">
        <f>P42</f>
        <v>166.5</v>
      </c>
      <c r="Q27" s="170">
        <v>1353959</v>
      </c>
      <c r="R27" s="169" t="s">
        <v>4446</v>
      </c>
      <c r="S27" s="204">
        <f>S26</f>
        <v>32</v>
      </c>
      <c r="T27" s="19" t="s">
        <v>4496</v>
      </c>
      <c r="U27" s="169">
        <v>192.2</v>
      </c>
      <c r="V27" s="169">
        <f>U27*(1+$N$82+$Q$15*S27/36500)</f>
        <v>199.07075506849318</v>
      </c>
      <c r="W27" s="32">
        <f t="shared" si="4"/>
        <v>203.05217016986305</v>
      </c>
      <c r="X27" s="32">
        <f t="shared" si="5"/>
        <v>207.03358527123291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235</v>
      </c>
      <c r="AM27" s="113">
        <f t="shared" si="8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4552</v>
      </c>
      <c r="N28" s="113">
        <f t="shared" si="6"/>
        <v>37192</v>
      </c>
      <c r="O28" s="36">
        <v>80</v>
      </c>
      <c r="P28" s="99">
        <f>P47</f>
        <v>464.9</v>
      </c>
      <c r="Q28" s="170">
        <v>1614398</v>
      </c>
      <c r="R28" s="169" t="s">
        <v>4454</v>
      </c>
      <c r="S28" s="169">
        <f>S27-3</f>
        <v>29</v>
      </c>
      <c r="T28" s="19" t="s">
        <v>4549</v>
      </c>
      <c r="U28" s="169">
        <v>184.6</v>
      </c>
      <c r="V28" s="169">
        <f>U28*(1+$N$82+$Q$15*S28/36500)</f>
        <v>190.77423780821917</v>
      </c>
      <c r="W28" s="32">
        <f t="shared" si="4"/>
        <v>194.58972256438355</v>
      </c>
      <c r="X28" s="32">
        <f t="shared" si="5"/>
        <v>198.40520732054793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234</v>
      </c>
      <c r="AM28" s="113">
        <f t="shared" si="8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4547</v>
      </c>
      <c r="S29" s="203">
        <f>S28-18</f>
        <v>11</v>
      </c>
      <c r="T29" s="169" t="s">
        <v>4554</v>
      </c>
      <c r="U29" s="169">
        <v>315</v>
      </c>
      <c r="V29" s="169">
        <f>U29*(1+$N$82+$Q$15*S29/36500)</f>
        <v>321.18608219178083</v>
      </c>
      <c r="W29" s="32">
        <f t="shared" si="4"/>
        <v>327.60980383561645</v>
      </c>
      <c r="X29" s="32">
        <f t="shared" si="5"/>
        <v>334.03352547945207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229</v>
      </c>
      <c r="AM29" s="113">
        <f t="shared" si="8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4562</v>
      </c>
      <c r="S30" s="203">
        <f>S29-4</f>
        <v>7</v>
      </c>
      <c r="T30" s="169" t="s">
        <v>4563</v>
      </c>
      <c r="U30" s="169">
        <v>166.2</v>
      </c>
      <c r="V30" s="169">
        <f>U30*(1+$N$82+$Q$15*S30/36500)</f>
        <v>168.95391123287672</v>
      </c>
      <c r="W30" s="32">
        <f t="shared" si="4"/>
        <v>172.33298945753427</v>
      </c>
      <c r="X30" s="32">
        <f t="shared" si="5"/>
        <v>175.71206768219179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228</v>
      </c>
      <c r="AM30" s="113">
        <f t="shared" si="8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-S104</f>
        <v>-76584880.543599099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6</v>
      </c>
      <c r="T31" s="169" t="s">
        <v>4570</v>
      </c>
      <c r="U31" s="169">
        <v>166</v>
      </c>
      <c r="V31" s="169">
        <f>U31*(1+$N$82+$Q$15*S31/36500)</f>
        <v>168.62325479452056</v>
      </c>
      <c r="W31" s="32">
        <f t="shared" si="4"/>
        <v>171.99571989041098</v>
      </c>
      <c r="X31" s="32">
        <f t="shared" si="5"/>
        <v>175.3681849863014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8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4575</v>
      </c>
      <c r="S32" s="203">
        <f>S31-2</f>
        <v>4</v>
      </c>
      <c r="T32" s="169" t="s">
        <v>4587</v>
      </c>
      <c r="U32" s="169">
        <v>160.19999999999999</v>
      </c>
      <c r="V32" s="169">
        <f>U32*(1+$N$82+$Q$15*S32/36500)</f>
        <v>162.48581260273974</v>
      </c>
      <c r="W32" s="32">
        <f t="shared" si="4"/>
        <v>165.73552885479455</v>
      </c>
      <c r="X32" s="32">
        <f t="shared" si="5"/>
        <v>168.98524510684933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222</v>
      </c>
      <c r="AM32" s="113">
        <f t="shared" si="8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206</v>
      </c>
      <c r="AM33" s="113">
        <f t="shared" si="8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4627</v>
      </c>
      <c r="L34" s="117">
        <v>-50000000</v>
      </c>
      <c r="M34" s="73"/>
      <c r="N34" s="113"/>
      <c r="O34" s="96"/>
      <c r="P34" s="96"/>
      <c r="Q34" s="170">
        <f>SUM(N21:N24)-SUM(Q20:Q33)</f>
        <v>-3342343.1999999993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206</v>
      </c>
      <c r="AM34" s="113">
        <f t="shared" si="8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4514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194</v>
      </c>
      <c r="AM35" s="113">
        <f t="shared" si="8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4507</v>
      </c>
      <c r="AU35" s="99" t="s">
        <v>4513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4540</v>
      </c>
      <c r="L36" s="117">
        <v>-1000000</v>
      </c>
      <c r="M36" s="169" t="s">
        <v>4463</v>
      </c>
      <c r="N36" s="113">
        <v>-20000000</v>
      </c>
      <c r="O36" s="96"/>
      <c r="P36" s="114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192</v>
      </c>
      <c r="AM36" s="113">
        <f t="shared" si="8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4547</v>
      </c>
      <c r="AU36" s="99" t="s">
        <v>4548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192</v>
      </c>
      <c r="AM37" s="113">
        <f t="shared" si="8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191</v>
      </c>
      <c r="AM38" s="113">
        <f t="shared" si="8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99"/>
      <c r="L39" s="117"/>
      <c r="M39" s="169" t="s">
        <v>4479</v>
      </c>
      <c r="N39" s="113">
        <v>5097506</v>
      </c>
      <c r="Q39" s="169">
        <v>0</v>
      </c>
      <c r="R39" s="169" t="s">
        <v>4175</v>
      </c>
      <c r="S39" s="169">
        <f>S54</f>
        <v>92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187</v>
      </c>
      <c r="AM39" s="113">
        <f t="shared" si="8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30</v>
      </c>
      <c r="T40" s="195" t="s">
        <v>4550</v>
      </c>
      <c r="U40" s="169">
        <v>184.6</v>
      </c>
      <c r="V40" s="169">
        <f>U40*(1+$N$82+$Q$15*S40/36500)</f>
        <v>190.91584876712329</v>
      </c>
      <c r="W40" s="32">
        <f>V40*(1+$W$19/100)</f>
        <v>194.73416574246576</v>
      </c>
      <c r="X40" s="32">
        <f>V40*(1+$X$19/100)</f>
        <v>198.55248271780823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184</v>
      </c>
      <c r="AM40" s="113">
        <f t="shared" si="8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32" t="s">
        <v>4406</v>
      </c>
      <c r="N41" s="113">
        <f t="shared" ref="N41:N51" si="12">O41*P41</f>
        <v>1862450.2</v>
      </c>
      <c r="O41" s="99">
        <v>611</v>
      </c>
      <c r="P41" s="99">
        <v>3048.2</v>
      </c>
      <c r="Q41" s="170">
        <v>25314</v>
      </c>
      <c r="R41" s="169" t="s">
        <v>4547</v>
      </c>
      <c r="S41" s="203">
        <f>S40-18</f>
        <v>12</v>
      </c>
      <c r="T41" s="194" t="s">
        <v>4553</v>
      </c>
      <c r="U41" s="169">
        <v>315</v>
      </c>
      <c r="V41" s="169">
        <f>U41*(1+$N$82+$Q$15*S41/36500)</f>
        <v>321.42772602739728</v>
      </c>
      <c r="W41" s="32">
        <f t="shared" ref="W41:W45" si="13">V41*(1+$W$19/100)</f>
        <v>327.85628054794523</v>
      </c>
      <c r="X41" s="32">
        <f t="shared" ref="X41:X45" si="14">V41*(1+$X$19/100)</f>
        <v>334.28483506849318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180</v>
      </c>
      <c r="AM41" s="113">
        <f t="shared" si="8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2"/>
        <v>195830473.5</v>
      </c>
      <c r="O42" s="99">
        <v>1176159</v>
      </c>
      <c r="P42" s="99">
        <v>166.5</v>
      </c>
      <c r="Q42" s="170">
        <v>1692313</v>
      </c>
      <c r="R42" s="169" t="s">
        <v>4557</v>
      </c>
      <c r="S42" s="203">
        <f>S41-3</f>
        <v>9</v>
      </c>
      <c r="T42" s="194" t="s">
        <v>4558</v>
      </c>
      <c r="U42" s="169">
        <v>168.5</v>
      </c>
      <c r="V42" s="169">
        <f>U42*(1+$N$82+$Q$15*S42/36500)</f>
        <v>171.55054246575347</v>
      </c>
      <c r="W42" s="32">
        <f t="shared" si="13"/>
        <v>174.98155331506854</v>
      </c>
      <c r="X42" s="32">
        <f t="shared" si="14"/>
        <v>178.41256416438361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179</v>
      </c>
      <c r="AM42" s="113">
        <f t="shared" si="8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4505</v>
      </c>
      <c r="N43" s="113">
        <v>598155</v>
      </c>
      <c r="O43" s="99"/>
      <c r="P43" s="99"/>
      <c r="Q43" s="170">
        <v>101153</v>
      </c>
      <c r="R43" s="169" t="s">
        <v>4562</v>
      </c>
      <c r="S43" s="203">
        <f>S42-1</f>
        <v>8</v>
      </c>
      <c r="T43" s="194" t="s">
        <v>4564</v>
      </c>
      <c r="U43" s="169">
        <v>166.7</v>
      </c>
      <c r="V43" s="169">
        <f>U43*(1+$N$82+$Q$15*S43/36500)</f>
        <v>169.59007561643836</v>
      </c>
      <c r="W43" s="32">
        <f t="shared" si="13"/>
        <v>172.98187712876714</v>
      </c>
      <c r="X43" s="32">
        <f t="shared" si="14"/>
        <v>176.37367864109589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179</v>
      </c>
      <c r="AM43" s="113">
        <f t="shared" si="8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2"/>
        <v>0</v>
      </c>
      <c r="O44" s="69">
        <v>0</v>
      </c>
      <c r="P44" s="69">
        <v>284.60000000000002</v>
      </c>
      <c r="Q44" s="170">
        <v>183105</v>
      </c>
      <c r="R44" s="169" t="s">
        <v>4234</v>
      </c>
      <c r="S44" s="203">
        <f>S43-1</f>
        <v>7</v>
      </c>
      <c r="T44" s="194" t="s">
        <v>4569</v>
      </c>
      <c r="U44" s="169">
        <v>166.6</v>
      </c>
      <c r="V44" s="169">
        <f>U44*(1+$N$82+$Q$15*S44/36500)</f>
        <v>169.36053917808221</v>
      </c>
      <c r="W44" s="32">
        <f t="shared" si="13"/>
        <v>172.74774996164385</v>
      </c>
      <c r="X44" s="32">
        <f t="shared" si="14"/>
        <v>176.13496074520549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178</v>
      </c>
      <c r="AM44" s="113">
        <f t="shared" si="8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2"/>
        <v>3308684.6</v>
      </c>
      <c r="O45" s="69">
        <v>767</v>
      </c>
      <c r="P45" s="69">
        <v>4313.8</v>
      </c>
      <c r="Q45" s="170"/>
      <c r="R45" s="169"/>
      <c r="S45" s="113"/>
      <c r="T45" s="113"/>
      <c r="U45" s="169"/>
      <c r="V45" s="169">
        <f>U45*(1+$N$82+$Q$15*S45/36500)</f>
        <v>0</v>
      </c>
      <c r="W45" s="32">
        <f t="shared" si="13"/>
        <v>0</v>
      </c>
      <c r="X45" s="32">
        <f t="shared" si="14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177</v>
      </c>
      <c r="AM45" s="113">
        <f t="shared" si="8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2"/>
        <v>2808417.6999999997</v>
      </c>
      <c r="O46" s="69">
        <v>6431</v>
      </c>
      <c r="P46" s="69">
        <v>436.7</v>
      </c>
      <c r="Q46" s="113">
        <f>SUM(N27:N28)-SUM(Q39:Q45)</f>
        <v>-104863.5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170</v>
      </c>
      <c r="AM46" s="113">
        <f t="shared" si="8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73" t="s">
        <v>4552</v>
      </c>
      <c r="N47" s="117">
        <f t="shared" si="12"/>
        <v>36727.1</v>
      </c>
      <c r="O47" s="69">
        <v>79</v>
      </c>
      <c r="P47" s="69">
        <v>464.9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164</v>
      </c>
      <c r="AM47" s="113">
        <f t="shared" si="8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117"/>
      <c r="M48" s="73" t="s">
        <v>4545</v>
      </c>
      <c r="N48" s="117">
        <f t="shared" si="12"/>
        <v>769640</v>
      </c>
      <c r="O48" s="69">
        <v>271</v>
      </c>
      <c r="P48" s="69">
        <v>2840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163</v>
      </c>
      <c r="AM48" s="113">
        <f t="shared" si="8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 t="s">
        <v>25</v>
      </c>
      <c r="L49" s="117"/>
      <c r="M49" s="73" t="s">
        <v>4598</v>
      </c>
      <c r="N49" s="117">
        <f t="shared" si="12"/>
        <v>201815.4</v>
      </c>
      <c r="O49" s="69">
        <v>59</v>
      </c>
      <c r="P49" s="69">
        <v>3420.6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8"/>
        <v>497150000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73" t="s">
        <v>4623</v>
      </c>
      <c r="N50" s="117">
        <f t="shared" si="12"/>
        <v>104992</v>
      </c>
      <c r="O50" s="69">
        <v>40</v>
      </c>
      <c r="P50" s="69">
        <v>2624.8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160</v>
      </c>
      <c r="AM50" s="113">
        <f t="shared" si="8"/>
        <v>-1327937920</v>
      </c>
      <c r="AN50" s="99"/>
    </row>
    <row r="51" spans="1:4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2"/>
        <v>22080000</v>
      </c>
      <c r="O51" s="69">
        <v>60</v>
      </c>
      <c r="P51" s="69">
        <v>368000</v>
      </c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158</v>
      </c>
      <c r="AM51" s="113">
        <f t="shared" si="8"/>
        <v>790000000</v>
      </c>
      <c r="AN51" s="99"/>
    </row>
    <row r="52" spans="1:40" ht="3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117"/>
      <c r="M52" s="73"/>
      <c r="N52" s="117"/>
      <c r="O52" s="122"/>
      <c r="P52" s="122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144</v>
      </c>
      <c r="AM52" s="113">
        <f t="shared" si="8"/>
        <v>-12960000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117"/>
      <c r="M53" s="169" t="s">
        <v>1154</v>
      </c>
      <c r="N53" s="117">
        <v>14908</v>
      </c>
      <c r="O53" s="96" t="s">
        <v>25</v>
      </c>
      <c r="P53" t="s">
        <v>25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143</v>
      </c>
      <c r="AM53" s="113">
        <f t="shared" si="8"/>
        <v>800800000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184971545</v>
      </c>
      <c r="R54" s="169" t="s">
        <v>4175</v>
      </c>
      <c r="S54" s="196">
        <v>92</v>
      </c>
      <c r="T54" s="169" t="s">
        <v>4361</v>
      </c>
      <c r="U54" s="169">
        <v>192</v>
      </c>
      <c r="V54" s="99">
        <f>U54*(1+$N$82+$Q$15*S54/36500)</f>
        <v>207.70086575342467</v>
      </c>
      <c r="W54" s="32">
        <f t="shared" ref="W54:W78" si="15">V54*(1+$W$19/100)</f>
        <v>211.85488306849317</v>
      </c>
      <c r="X54" s="32">
        <f t="shared" ref="X54:X78" si="16">V54*(1+$X$19/100)</f>
        <v>216.00890038356167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139</v>
      </c>
      <c r="AM54" s="113">
        <f t="shared" si="8"/>
        <v>104250000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9560464</v>
      </c>
      <c r="R55" s="169" t="s">
        <v>4309</v>
      </c>
      <c r="S55" s="196">
        <f>S54-31</f>
        <v>61</v>
      </c>
      <c r="T55" s="169" t="s">
        <v>4325</v>
      </c>
      <c r="U55" s="169">
        <v>214.57</v>
      </c>
      <c r="V55" s="99">
        <f>U55*(1+$N$82+$Q$15*S55/36500)</f>
        <v>227.01388427397262</v>
      </c>
      <c r="W55" s="32">
        <f t="shared" si="15"/>
        <v>231.55416195945207</v>
      </c>
      <c r="X55" s="32">
        <f t="shared" si="16"/>
        <v>236.09443964493153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137</v>
      </c>
      <c r="AM55" s="171">
        <f t="shared" si="8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-13781704.5</v>
      </c>
      <c r="O56" s="99">
        <v>82773</v>
      </c>
      <c r="P56" s="99">
        <f>P42</f>
        <v>166.5</v>
      </c>
      <c r="Q56" s="170">
        <v>2000000</v>
      </c>
      <c r="R56" s="169" t="s">
        <v>4356</v>
      </c>
      <c r="S56" s="169">
        <f>S55-11</f>
        <v>50</v>
      </c>
      <c r="T56" s="169" t="s">
        <v>4360</v>
      </c>
      <c r="U56" s="169">
        <v>206.8</v>
      </c>
      <c r="V56" s="99">
        <f>U56*(1+$N$82+$Q$15*S56/36500)</f>
        <v>217.04821479452059</v>
      </c>
      <c r="W56" s="32">
        <f t="shared" si="15"/>
        <v>221.38917909041101</v>
      </c>
      <c r="X56" s="32">
        <f t="shared" si="16"/>
        <v>225.73014338630142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135</v>
      </c>
      <c r="AM56" s="113">
        <f t="shared" si="8"/>
        <v>553500000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/>
      <c r="N57" s="113"/>
      <c r="Q57" s="170">
        <v>1429825</v>
      </c>
      <c r="R57" s="169" t="s">
        <v>4387</v>
      </c>
      <c r="S57" s="169">
        <f>S56-7</f>
        <v>43</v>
      </c>
      <c r="T57" s="169" t="s">
        <v>4396</v>
      </c>
      <c r="U57" s="169">
        <v>203.9</v>
      </c>
      <c r="V57" s="99">
        <f>U57*(1+$N$82+$Q$15*S57/36500)</f>
        <v>212.9095868493151</v>
      </c>
      <c r="W57" s="32">
        <f t="shared" si="15"/>
        <v>217.16777858630141</v>
      </c>
      <c r="X57" s="32">
        <f t="shared" si="16"/>
        <v>221.42597032328771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135</v>
      </c>
      <c r="AM57" s="113">
        <f t="shared" si="8"/>
        <v>553500000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/>
      <c r="N58" s="113"/>
      <c r="Q58" s="170">
        <v>1420747</v>
      </c>
      <c r="R58" s="169" t="s">
        <v>4387</v>
      </c>
      <c r="S58" s="169">
        <f>S57</f>
        <v>43</v>
      </c>
      <c r="T58" s="169" t="s">
        <v>4398</v>
      </c>
      <c r="U58" s="169">
        <v>203.1</v>
      </c>
      <c r="V58" s="99">
        <f>U58*(1+$N$82+$Q$15*S58/36500)</f>
        <v>212.07423780821918</v>
      </c>
      <c r="W58" s="32">
        <f t="shared" si="15"/>
        <v>216.31572256438358</v>
      </c>
      <c r="X58" s="32">
        <f t="shared" si="16"/>
        <v>220.55720732054795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134</v>
      </c>
      <c r="AM58" s="113">
        <f t="shared" si="8"/>
        <v>105860000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 t="s">
        <v>4465</v>
      </c>
      <c r="N59" s="113">
        <f>-S105</f>
        <v>-7741015.1681171171</v>
      </c>
      <c r="Q59" s="170">
        <v>2412371</v>
      </c>
      <c r="R59" s="169" t="s">
        <v>4389</v>
      </c>
      <c r="S59" s="169">
        <f>S58-1</f>
        <v>42</v>
      </c>
      <c r="T59" s="169" t="s">
        <v>4405</v>
      </c>
      <c r="U59" s="169">
        <v>3930</v>
      </c>
      <c r="V59" s="99">
        <f>U59*(1+$N$82+$Q$15*S59/36500)</f>
        <v>4100.6373698630141</v>
      </c>
      <c r="W59" s="32">
        <f t="shared" si="15"/>
        <v>4182.6501172602748</v>
      </c>
      <c r="X59" s="32">
        <f t="shared" si="16"/>
        <v>4264.6628646575346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119</v>
      </c>
      <c r="AM59" s="173">
        <f t="shared" si="8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/>
      <c r="L60" s="117"/>
      <c r="M60" s="169"/>
      <c r="N60" s="113"/>
      <c r="P60" t="s">
        <v>25</v>
      </c>
      <c r="Q60" s="170">
        <v>2010885</v>
      </c>
      <c r="R60" s="169" t="s">
        <v>4408</v>
      </c>
      <c r="S60" s="169">
        <f>S59-2</f>
        <v>40</v>
      </c>
      <c r="T60" s="169" t="s">
        <v>4414</v>
      </c>
      <c r="U60" s="169">
        <v>202.1</v>
      </c>
      <c r="V60" s="99">
        <f>U60*(1+$N$82+$Q$15*S60/36500)</f>
        <v>210.56494465753428</v>
      </c>
      <c r="W60" s="32">
        <f t="shared" si="15"/>
        <v>214.77624355068497</v>
      </c>
      <c r="X60" s="32">
        <f t="shared" si="16"/>
        <v>218.98754244383565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113</v>
      </c>
      <c r="AM60" s="113">
        <f t="shared" si="8"/>
        <v>2124400000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/>
      <c r="L61" s="117"/>
      <c r="M61" s="169"/>
      <c r="N61" s="113"/>
      <c r="Q61" s="170">
        <v>1994038</v>
      </c>
      <c r="R61" s="169" t="s">
        <v>4419</v>
      </c>
      <c r="S61" s="169">
        <f>S60-3</f>
        <v>37</v>
      </c>
      <c r="T61" s="169" t="s">
        <v>4436</v>
      </c>
      <c r="U61" s="169">
        <v>5560.3</v>
      </c>
      <c r="V61" s="99">
        <f>U61*(1+$N$82+$Q$15*S61/36500)</f>
        <v>5780.3964778082209</v>
      </c>
      <c r="W61" s="32">
        <f t="shared" si="15"/>
        <v>5896.0044073643858</v>
      </c>
      <c r="X61" s="32">
        <f t="shared" si="16"/>
        <v>6011.6123369205498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110</v>
      </c>
      <c r="AM61" s="113">
        <f t="shared" si="8"/>
        <v>55000000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69" t="s">
        <v>598</v>
      </c>
      <c r="L62" s="113">
        <f>SUM(L16:L45)</f>
        <v>235118955.54359913</v>
      </c>
      <c r="M62" s="169"/>
      <c r="N62" s="113">
        <f>SUM(N16:N58)</f>
        <v>307224986.75640088</v>
      </c>
      <c r="Q62" s="170">
        <v>2854085</v>
      </c>
      <c r="R62" s="169" t="s">
        <v>4419</v>
      </c>
      <c r="S62" s="198">
        <f>S61</f>
        <v>37</v>
      </c>
      <c r="T62" s="169" t="s">
        <v>4591</v>
      </c>
      <c r="U62" s="169">
        <v>441.8</v>
      </c>
      <c r="V62" s="99">
        <f>U62*(1+$N$82+$Q$15*S62/36500)</f>
        <v>459.28801753424665</v>
      </c>
      <c r="W62" s="32">
        <f t="shared" si="15"/>
        <v>468.47377788493156</v>
      </c>
      <c r="X62" s="32">
        <f t="shared" si="16"/>
        <v>477.65953823561654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8"/>
        <v>21800000</v>
      </c>
      <c r="AN62" s="20"/>
    </row>
    <row r="63" spans="1:40">
      <c r="E63" s="26"/>
      <c r="K63" s="169" t="s">
        <v>599</v>
      </c>
      <c r="L63" s="113">
        <f>L16+L17+L23</f>
        <v>55202</v>
      </c>
      <c r="M63" s="169"/>
      <c r="N63" s="113">
        <f>N16+N17+N32</f>
        <v>3331346</v>
      </c>
      <c r="Q63" s="170">
        <v>1971103</v>
      </c>
      <c r="R63" s="169" t="s">
        <v>4431</v>
      </c>
      <c r="S63" s="169">
        <f>S62-1</f>
        <v>36</v>
      </c>
      <c r="T63" s="169" t="s">
        <v>4432</v>
      </c>
      <c r="U63" s="169">
        <v>196.2</v>
      </c>
      <c r="V63" s="99">
        <f>U63*(1+$N$82+$Q$15*S63/36500)</f>
        <v>203.81578520547944</v>
      </c>
      <c r="W63" s="32">
        <f t="shared" si="15"/>
        <v>207.89210090958903</v>
      </c>
      <c r="X63" s="32">
        <f t="shared" si="16"/>
        <v>211.96841661369862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106</v>
      </c>
      <c r="AM63" s="113">
        <f t="shared" si="8"/>
        <v>106000000</v>
      </c>
      <c r="AN63" s="20"/>
    </row>
    <row r="64" spans="1:40">
      <c r="E64" s="26"/>
      <c r="K64" s="56" t="s">
        <v>716</v>
      </c>
      <c r="L64" s="1">
        <f>L62+N7</f>
        <v>305118955.54359913</v>
      </c>
      <c r="M64" s="113"/>
      <c r="N64" s="169"/>
      <c r="O64" s="115"/>
      <c r="P64" s="115"/>
      <c r="Q64" s="170">
        <v>1049856</v>
      </c>
      <c r="R64" s="169" t="s">
        <v>4454</v>
      </c>
      <c r="S64" s="204">
        <f>S63-6</f>
        <v>30</v>
      </c>
      <c r="T64" s="169" t="s">
        <v>4497</v>
      </c>
      <c r="U64" s="169">
        <v>184.5</v>
      </c>
      <c r="V64" s="99">
        <f>U64*(1+$N$82+$Q$15*S64/36500)</f>
        <v>190.81242739726031</v>
      </c>
      <c r="W64" s="32">
        <f t="shared" si="15"/>
        <v>194.62867594520552</v>
      </c>
      <c r="X64" s="32">
        <f t="shared" si="16"/>
        <v>198.44492449315072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8"/>
        <v>133900000</v>
      </c>
      <c r="AN64" s="20"/>
    </row>
    <row r="65" spans="1:40">
      <c r="O65" s="96"/>
      <c r="P65" s="96"/>
      <c r="Q65" s="170">
        <v>1783234</v>
      </c>
      <c r="R65" s="169" t="s">
        <v>4456</v>
      </c>
      <c r="S65" s="169">
        <f>S64-2</f>
        <v>28</v>
      </c>
      <c r="T65" s="169" t="s">
        <v>4457</v>
      </c>
      <c r="U65" s="169">
        <v>177.5</v>
      </c>
      <c r="V65" s="99">
        <f>U65*(1+$N$82+$Q$15*S65/36500)</f>
        <v>183.30060273972603</v>
      </c>
      <c r="W65" s="32">
        <f t="shared" si="15"/>
        <v>186.96661479452055</v>
      </c>
      <c r="X65" s="32">
        <f t="shared" si="16"/>
        <v>190.63262684931507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17">AL66+AK65</f>
        <v>103</v>
      </c>
      <c r="AM65" s="113">
        <f t="shared" si="8"/>
        <v>102485000</v>
      </c>
      <c r="AN65" s="20"/>
    </row>
    <row r="66" spans="1:40">
      <c r="M66" s="25"/>
      <c r="O66" t="s">
        <v>25</v>
      </c>
      <c r="Q66" s="170">
        <v>1904396</v>
      </c>
      <c r="R66" s="169" t="s">
        <v>4456</v>
      </c>
      <c r="S66" s="203">
        <f>S65</f>
        <v>28</v>
      </c>
      <c r="T66" s="169" t="s">
        <v>4462</v>
      </c>
      <c r="U66" s="169">
        <v>4861</v>
      </c>
      <c r="V66" s="99">
        <f>U66*(1+$N$82+$Q$15*S66/36500)</f>
        <v>5019.8548164383565</v>
      </c>
      <c r="W66" s="32">
        <f t="shared" si="15"/>
        <v>5120.2519127671239</v>
      </c>
      <c r="X66" s="32">
        <f t="shared" si="16"/>
        <v>5220.6490090958905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101</v>
      </c>
      <c r="AM66" s="113">
        <f t="shared" si="8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1826179</v>
      </c>
      <c r="R67" s="169" t="s">
        <v>4460</v>
      </c>
      <c r="S67" s="203">
        <f>S66-5</f>
        <v>23</v>
      </c>
      <c r="T67" s="73" t="s">
        <v>4506</v>
      </c>
      <c r="U67" s="169">
        <v>190.3</v>
      </c>
      <c r="V67" s="99">
        <f>U67*(1+$N$82+$Q$15*S67/36500)</f>
        <v>195.78898191780826</v>
      </c>
      <c r="W67" s="32">
        <f t="shared" si="15"/>
        <v>199.70476155616441</v>
      </c>
      <c r="X67" s="32">
        <f t="shared" si="16"/>
        <v>203.6205411945206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99</v>
      </c>
      <c r="AM67" s="113">
        <f t="shared" si="8"/>
        <v>-306900000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1049976</v>
      </c>
      <c r="R68" s="169" t="s">
        <v>4460</v>
      </c>
      <c r="S68" s="203">
        <f>S67</f>
        <v>23</v>
      </c>
      <c r="T68" s="73" t="s">
        <v>4515</v>
      </c>
      <c r="U68" s="169">
        <v>190.3</v>
      </c>
      <c r="V68" s="99">
        <f>U68*(1+$N$82+$Q$15*S68/36500)</f>
        <v>195.78898191780826</v>
      </c>
      <c r="W68" s="32">
        <f t="shared" si="15"/>
        <v>199.70476155616441</v>
      </c>
      <c r="X68" s="32">
        <f t="shared" si="16"/>
        <v>203.6205411945206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96</v>
      </c>
      <c r="AM68" s="113">
        <f t="shared" si="8"/>
        <v>4381440000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3969956</v>
      </c>
      <c r="R69" s="169" t="s">
        <v>4516</v>
      </c>
      <c r="S69" s="169">
        <f>S68-2</f>
        <v>21</v>
      </c>
      <c r="T69" s="73" t="s">
        <v>4517</v>
      </c>
      <c r="U69" s="169">
        <v>396500</v>
      </c>
      <c r="V69" s="99">
        <f>U69*(1+$N$82+$Q$15*S69/36500)</f>
        <v>407328.25205479452</v>
      </c>
      <c r="W69" s="32">
        <f t="shared" si="15"/>
        <v>415474.81709589041</v>
      </c>
      <c r="X69" s="32">
        <f t="shared" si="16"/>
        <v>423621.3821369863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95</v>
      </c>
      <c r="AM69" s="113">
        <f t="shared" si="8"/>
        <v>3182500000</v>
      </c>
      <c r="AN69" s="20"/>
    </row>
    <row r="70" spans="1:40">
      <c r="G70" t="s">
        <v>4104</v>
      </c>
      <c r="M70" s="122" t="s">
        <v>4426</v>
      </c>
      <c r="O70" s="114"/>
      <c r="Q70" s="170">
        <v>3894862</v>
      </c>
      <c r="R70" s="169" t="s">
        <v>4525</v>
      </c>
      <c r="S70" s="169">
        <f>S69-2</f>
        <v>19</v>
      </c>
      <c r="T70" s="73" t="s">
        <v>4583</v>
      </c>
      <c r="U70" s="169">
        <v>389000</v>
      </c>
      <c r="V70" s="99">
        <f>U70*(1+$N$82+$Q$15*S70/36500)</f>
        <v>399026.6082191781</v>
      </c>
      <c r="W70" s="32">
        <f t="shared" si="15"/>
        <v>407007.14038356167</v>
      </c>
      <c r="X70" s="32">
        <f t="shared" si="16"/>
        <v>414987.67254794523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94</v>
      </c>
      <c r="AM70" s="117">
        <f t="shared" si="8"/>
        <v>1128000000</v>
      </c>
      <c r="AN70" s="20"/>
    </row>
    <row r="71" spans="1:40" ht="30">
      <c r="G71" t="s">
        <v>4105</v>
      </c>
      <c r="M71" s="122" t="s">
        <v>4543</v>
      </c>
      <c r="N71" s="96"/>
      <c r="Q71" s="170">
        <v>5881743</v>
      </c>
      <c r="R71" s="169" t="s">
        <v>4531</v>
      </c>
      <c r="S71" s="169">
        <f>S70-3</f>
        <v>16</v>
      </c>
      <c r="T71" s="73" t="s">
        <v>4555</v>
      </c>
      <c r="U71" s="169">
        <v>172.2</v>
      </c>
      <c r="V71" s="99">
        <f>U71*(1+$N$82+$Q$15*S71/36500)</f>
        <v>176.24221808219178</v>
      </c>
      <c r="W71" s="32">
        <f t="shared" si="15"/>
        <v>179.76706244383561</v>
      </c>
      <c r="X71" s="32">
        <f t="shared" si="16"/>
        <v>183.29190680547947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93</v>
      </c>
      <c r="AM71" s="117">
        <f t="shared" si="8"/>
        <v>1441500000</v>
      </c>
      <c r="AN71" s="20"/>
    </row>
    <row r="72" spans="1:40">
      <c r="G72" t="s">
        <v>4109</v>
      </c>
      <c r="M72" s="122" t="s">
        <v>4524</v>
      </c>
      <c r="N72" s="96"/>
      <c r="P72" t="s">
        <v>25</v>
      </c>
      <c r="Q72" s="170">
        <v>4025024</v>
      </c>
      <c r="R72" s="169" t="s">
        <v>4531</v>
      </c>
      <c r="S72" s="169">
        <f>S71</f>
        <v>16</v>
      </c>
      <c r="T72" s="73" t="s">
        <v>4535</v>
      </c>
      <c r="U72" s="169">
        <v>402000</v>
      </c>
      <c r="V72" s="99">
        <f>U72*(1+$N$82+$Q$15*S72/36500)</f>
        <v>411436.53698630136</v>
      </c>
      <c r="W72" s="32">
        <f t="shared" si="15"/>
        <v>419665.26772602741</v>
      </c>
      <c r="X72" s="32">
        <f t="shared" si="16"/>
        <v>427893.99846575345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89</v>
      </c>
      <c r="AM72" s="117">
        <f t="shared" si="8"/>
        <v>13350000</v>
      </c>
      <c r="AN72" s="20"/>
    </row>
    <row r="73" spans="1:40">
      <c r="G73" t="s">
        <v>4108</v>
      </c>
      <c r="M73" s="122" t="s">
        <v>4526</v>
      </c>
      <c r="N73" s="96"/>
      <c r="P73" s="115"/>
      <c r="Q73" s="170">
        <v>3919893</v>
      </c>
      <c r="R73" s="169" t="s">
        <v>4533</v>
      </c>
      <c r="S73" s="169">
        <f>S72-1</f>
        <v>15</v>
      </c>
      <c r="T73" s="73" t="s">
        <v>4534</v>
      </c>
      <c r="U73" s="169">
        <v>391500</v>
      </c>
      <c r="V73" s="99">
        <f>U73*(1+$N$82+$Q$15*S73/36500)</f>
        <v>400389.73150684935</v>
      </c>
      <c r="W73" s="32">
        <f t="shared" si="15"/>
        <v>408397.52613698633</v>
      </c>
      <c r="X73" s="32">
        <f t="shared" si="16"/>
        <v>416405.32076712331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88</v>
      </c>
      <c r="AM73" s="182">
        <f t="shared" si="8"/>
        <v>2552000000</v>
      </c>
      <c r="AN73" s="181" t="s">
        <v>4189</v>
      </c>
    </row>
    <row r="74" spans="1:40">
      <c r="M74" s="122" t="s">
        <v>4542</v>
      </c>
      <c r="N74" s="96"/>
      <c r="P74" s="115" t="s">
        <v>25</v>
      </c>
      <c r="Q74" s="170">
        <v>3825777</v>
      </c>
      <c r="R74" s="169" t="s">
        <v>4539</v>
      </c>
      <c r="S74" s="169">
        <f>S73-1</f>
        <v>14</v>
      </c>
      <c r="T74" s="73" t="s">
        <v>4541</v>
      </c>
      <c r="U74" s="169">
        <v>382100</v>
      </c>
      <c r="V74" s="99">
        <f>U74*(1+$N$82+$Q$15*S74/36500)</f>
        <v>390483.16931506858</v>
      </c>
      <c r="W74" s="32">
        <f t="shared" si="15"/>
        <v>398292.83270136995</v>
      </c>
      <c r="X74" s="32">
        <f t="shared" si="16"/>
        <v>406102.49608767132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73</v>
      </c>
      <c r="AM74" s="117">
        <f t="shared" si="8"/>
        <v>-9490000</v>
      </c>
      <c r="AN74" s="20" t="s">
        <v>4215</v>
      </c>
    </row>
    <row r="75" spans="1:40">
      <c r="M75" s="122"/>
      <c r="O75" t="s">
        <v>25</v>
      </c>
      <c r="P75" s="115"/>
      <c r="Q75" s="170">
        <v>773238</v>
      </c>
      <c r="R75" s="169" t="s">
        <v>4236</v>
      </c>
      <c r="S75" s="169">
        <f>S74-1</f>
        <v>13</v>
      </c>
      <c r="T75" s="73" t="s">
        <v>4546</v>
      </c>
      <c r="U75" s="169">
        <v>2850</v>
      </c>
      <c r="V75" s="99">
        <f>U75*(1+$N$82+$Q$15*S75/36500)</f>
        <v>2910.3419178082195</v>
      </c>
      <c r="W75" s="32">
        <f t="shared" si="15"/>
        <v>2968.548756164384</v>
      </c>
      <c r="X75" s="32">
        <f t="shared" si="16"/>
        <v>3026.7555945205486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M76" s="96">
        <f>O42+O43+O21+O27-O56</f>
        <v>1181976</v>
      </c>
      <c r="N76" s="113">
        <f>M76*P42</f>
        <v>196799004</v>
      </c>
      <c r="P76" s="115"/>
      <c r="Q76" s="170">
        <v>24997</v>
      </c>
      <c r="R76" s="169" t="s">
        <v>4547</v>
      </c>
      <c r="S76" s="169">
        <f>S75-1</f>
        <v>12</v>
      </c>
      <c r="T76" s="73" t="s">
        <v>4554</v>
      </c>
      <c r="U76" s="169">
        <v>315</v>
      </c>
      <c r="V76" s="99">
        <f>U76*(1+$N$82+$Q$15*S76/36500)</f>
        <v>321.42772602739728</v>
      </c>
      <c r="W76" s="32">
        <f t="shared" si="15"/>
        <v>327.85628054794523</v>
      </c>
      <c r="X76" s="32">
        <f t="shared" si="16"/>
        <v>334.28483506849318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17"/>
        <v>64</v>
      </c>
      <c r="AM76" s="117">
        <f t="shared" si="8"/>
        <v>-10880000</v>
      </c>
      <c r="AN76" s="20"/>
    </row>
    <row r="77" spans="1:40">
      <c r="D77" s="1" t="s">
        <v>305</v>
      </c>
      <c r="E77" s="1">
        <v>70000</v>
      </c>
      <c r="M77" t="s">
        <v>4277</v>
      </c>
      <c r="P77" s="115"/>
      <c r="Q77" s="170">
        <v>674112</v>
      </c>
      <c r="R77" s="169" t="s">
        <v>4557</v>
      </c>
      <c r="S77" s="169">
        <f>S76-3</f>
        <v>9</v>
      </c>
      <c r="T77" s="73" t="s">
        <v>4559</v>
      </c>
      <c r="U77" s="169">
        <v>167.8</v>
      </c>
      <c r="V77" s="99">
        <f>U77*(1+$N$82+$Q$15*S77/36500)</f>
        <v>170.83786958904113</v>
      </c>
      <c r="W77" s="32">
        <f t="shared" si="15"/>
        <v>174.25462698082197</v>
      </c>
      <c r="X77" s="32">
        <f t="shared" si="16"/>
        <v>177.67138437260277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17"/>
        <v>61</v>
      </c>
      <c r="AM77" s="117">
        <f t="shared" si="8"/>
        <v>-18300000</v>
      </c>
      <c r="AN77" s="20"/>
    </row>
    <row r="78" spans="1:40">
      <c r="D78" s="1" t="s">
        <v>321</v>
      </c>
      <c r="E78" s="1">
        <v>100000</v>
      </c>
      <c r="N78" t="s">
        <v>25</v>
      </c>
      <c r="P78" s="115"/>
      <c r="Q78" s="170">
        <v>3614512</v>
      </c>
      <c r="R78" s="169" t="s">
        <v>4557</v>
      </c>
      <c r="S78" s="169">
        <f>S77</f>
        <v>9</v>
      </c>
      <c r="T78" s="73" t="s">
        <v>4560</v>
      </c>
      <c r="U78" s="169">
        <v>361000</v>
      </c>
      <c r="V78" s="99">
        <f>U78*(1+$N$82+$Q$15*S78/36500)</f>
        <v>367535.5835616439</v>
      </c>
      <c r="W78" s="32">
        <f t="shared" si="15"/>
        <v>374886.29523287679</v>
      </c>
      <c r="X78" s="32">
        <f t="shared" si="16"/>
        <v>382237.00690410967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8"/>
        <v>-661200000</v>
      </c>
      <c r="AN78" s="20"/>
    </row>
    <row r="79" spans="1:40">
      <c r="D79" s="1" t="s">
        <v>306</v>
      </c>
      <c r="E79" s="1">
        <v>80000</v>
      </c>
      <c r="P79" s="115"/>
      <c r="Q79" s="170">
        <v>105046</v>
      </c>
      <c r="R79" s="169" t="s">
        <v>4562</v>
      </c>
      <c r="S79" s="169">
        <f>S78-1</f>
        <v>8</v>
      </c>
      <c r="T79" s="73" t="s">
        <v>4565</v>
      </c>
      <c r="U79" s="169">
        <v>167</v>
      </c>
      <c r="V79" s="99">
        <f>U79*(1+$N$82+$Q$15*S79/36500)</f>
        <v>169.89527671232878</v>
      </c>
      <c r="W79" s="32">
        <f t="shared" ref="W79:W90" si="18">V79*(1+$W$19/100)</f>
        <v>173.29318224657536</v>
      </c>
      <c r="X79" s="32">
        <f t="shared" ref="X79:X90" si="19">V79*(1+$X$19/100)</f>
        <v>176.69108778082193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949</v>
      </c>
      <c r="N80">
        <v>6.3E-3</v>
      </c>
      <c r="P80" s="115"/>
      <c r="Q80" s="170">
        <v>220269</v>
      </c>
      <c r="R80" s="169" t="s">
        <v>4234</v>
      </c>
      <c r="S80" s="169">
        <f>S79-1</f>
        <v>7</v>
      </c>
      <c r="T80" s="73" t="s">
        <v>4571</v>
      </c>
      <c r="U80" s="169">
        <v>165.1</v>
      </c>
      <c r="V80" s="99">
        <f>U80*(1+$N$82+$Q$15*S80/36500)</f>
        <v>167.83568438356167</v>
      </c>
      <c r="W80" s="32">
        <f t="shared" si="18"/>
        <v>171.1923980712329</v>
      </c>
      <c r="X80" s="32">
        <f t="shared" si="19"/>
        <v>174.54911175890413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M81" t="s">
        <v>61</v>
      </c>
      <c r="N81">
        <v>4.8999999999999998E-3</v>
      </c>
      <c r="P81" s="115"/>
      <c r="Q81" s="117">
        <v>277822</v>
      </c>
      <c r="R81" s="169" t="s">
        <v>4234</v>
      </c>
      <c r="S81" s="169">
        <f>S80</f>
        <v>7</v>
      </c>
      <c r="T81" s="73" t="s">
        <v>4572</v>
      </c>
      <c r="U81" s="169">
        <v>165</v>
      </c>
      <c r="V81" s="99">
        <f>U81*(1+$N$82+$Q$15*S81/36500)</f>
        <v>167.73402739726029</v>
      </c>
      <c r="W81" s="32">
        <f t="shared" si="18"/>
        <v>171.0887079452055</v>
      </c>
      <c r="X81" s="32">
        <f t="shared" si="19"/>
        <v>174.44338849315071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17"/>
        <v>39</v>
      </c>
      <c r="AM81" s="117">
        <f t="shared" si="8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</v>
      </c>
      <c r="N82">
        <f>N80+N81</f>
        <v>1.12E-2</v>
      </c>
      <c r="O82" t="s">
        <v>25</v>
      </c>
      <c r="P82" t="s">
        <v>25</v>
      </c>
      <c r="Q82" s="170">
        <v>165664</v>
      </c>
      <c r="R82" s="169" t="s">
        <v>4234</v>
      </c>
      <c r="S82" s="169">
        <f>S81</f>
        <v>7</v>
      </c>
      <c r="T82" s="73" t="s">
        <v>4573</v>
      </c>
      <c r="U82" s="169">
        <v>164.9</v>
      </c>
      <c r="V82" s="99">
        <f>U82*(1+$N$82+$Q$15*S82/36500)</f>
        <v>167.63237041095894</v>
      </c>
      <c r="W82" s="32">
        <f t="shared" si="18"/>
        <v>170.98501781917813</v>
      </c>
      <c r="X82" s="32">
        <f t="shared" si="19"/>
        <v>174.33766522739731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8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s="170">
        <v>355909</v>
      </c>
      <c r="R83" s="169" t="s">
        <v>4234</v>
      </c>
      <c r="S83" s="169">
        <f>S82</f>
        <v>7</v>
      </c>
      <c r="T83" s="73" t="s">
        <v>4574</v>
      </c>
      <c r="U83" s="169">
        <v>165.7</v>
      </c>
      <c r="V83" s="99">
        <f>U83*(1+$N$82+$Q$15*S83/36500)</f>
        <v>168.44562630136988</v>
      </c>
      <c r="W83" s="32">
        <f t="shared" si="18"/>
        <v>171.81453882739729</v>
      </c>
      <c r="X83" s="32">
        <f t="shared" si="19"/>
        <v>175.18345135342469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17"/>
        <v>36</v>
      </c>
      <c r="AM83" s="117">
        <f t="shared" si="8"/>
        <v>-224437320</v>
      </c>
      <c r="AN83" s="20"/>
      <c r="AS83" s="96"/>
      <c r="AU83"/>
    </row>
    <row r="84" spans="4:52" ht="30">
      <c r="D84" s="18" t="s">
        <v>311</v>
      </c>
      <c r="E84" s="18">
        <v>300000</v>
      </c>
      <c r="G84" s="47">
        <v>500000</v>
      </c>
      <c r="H84" s="207" t="s">
        <v>479</v>
      </c>
      <c r="Q84" s="170">
        <v>2798316</v>
      </c>
      <c r="R84" s="169" t="s">
        <v>4234</v>
      </c>
      <c r="S84" s="169">
        <f>S83</f>
        <v>7</v>
      </c>
      <c r="T84" s="73" t="s">
        <v>4580</v>
      </c>
      <c r="U84" s="169">
        <v>165.6</v>
      </c>
      <c r="V84" s="99">
        <f>U84*(1+$N$82+$Q$15*S84/36500)</f>
        <v>168.34396931506851</v>
      </c>
      <c r="W84" s="32">
        <f t="shared" si="18"/>
        <v>171.71084870136988</v>
      </c>
      <c r="X84" s="32">
        <f t="shared" si="19"/>
        <v>175.07772808767126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17"/>
        <v>33</v>
      </c>
      <c r="AM84" s="117">
        <f t="shared" si="8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Q85" s="170">
        <v>4047881</v>
      </c>
      <c r="R85" s="169" t="s">
        <v>4578</v>
      </c>
      <c r="S85" s="169">
        <f>S84-1</f>
        <v>6</v>
      </c>
      <c r="T85" s="73" t="s">
        <v>4581</v>
      </c>
      <c r="U85" s="169">
        <v>166.2</v>
      </c>
      <c r="V85" s="99">
        <f>U85*(1+$N$82+$Q$15*S85/36500)</f>
        <v>168.82641534246574</v>
      </c>
      <c r="W85" s="32">
        <f t="shared" si="18"/>
        <v>172.20294364931505</v>
      </c>
      <c r="X85" s="32">
        <f t="shared" si="19"/>
        <v>175.57947195616438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17"/>
        <v>29</v>
      </c>
      <c r="AM85" s="117">
        <f t="shared" si="8"/>
        <v>17400000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M86" s="199" t="s">
        <v>4594</v>
      </c>
      <c r="P86" t="s">
        <v>25</v>
      </c>
      <c r="Q86" s="170">
        <v>165865</v>
      </c>
      <c r="R86" s="169" t="s">
        <v>4578</v>
      </c>
      <c r="S86" s="169">
        <f>S85</f>
        <v>6</v>
      </c>
      <c r="T86" s="73" t="s">
        <v>4582</v>
      </c>
      <c r="U86" s="169">
        <v>165.1</v>
      </c>
      <c r="V86" s="99">
        <f>U86*(1+$N$82+$Q$15*S86/36500)</f>
        <v>167.70903232876711</v>
      </c>
      <c r="W86" s="32">
        <f t="shared" si="18"/>
        <v>171.06321297534245</v>
      </c>
      <c r="X86" s="32">
        <f t="shared" si="19"/>
        <v>174.4173936219178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17"/>
        <v>24</v>
      </c>
      <c r="AM86" s="117">
        <f t="shared" si="8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t="s">
        <v>4595</v>
      </c>
      <c r="Q87" s="170">
        <v>1668091</v>
      </c>
      <c r="R87" s="169" t="s">
        <v>4575</v>
      </c>
      <c r="S87" s="169">
        <f>S86-1</f>
        <v>5</v>
      </c>
      <c r="T87" s="73" t="s">
        <v>4625</v>
      </c>
      <c r="U87" s="169">
        <v>161.4</v>
      </c>
      <c r="V87" s="99">
        <f>U87*(1+$N$82+$Q$15*S87/36500)</f>
        <v>163.82674849315072</v>
      </c>
      <c r="W87" s="32">
        <f t="shared" si="18"/>
        <v>167.10328346301372</v>
      </c>
      <c r="X87" s="32">
        <f t="shared" si="19"/>
        <v>170.37981843287676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17"/>
        <v>22</v>
      </c>
      <c r="AM87" s="117">
        <f t="shared" si="8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4596</v>
      </c>
      <c r="Q88" s="170">
        <v>103273</v>
      </c>
      <c r="R88" s="169" t="s">
        <v>4617</v>
      </c>
      <c r="S88" s="169">
        <f>S87-4</f>
        <v>1</v>
      </c>
      <c r="T88" s="73" t="s">
        <v>4618</v>
      </c>
      <c r="U88" s="169">
        <v>3544.7</v>
      </c>
      <c r="V88" s="99">
        <f>U88*(1+$N$82+$Q$15*S88/36500)</f>
        <v>3587.1198619178081</v>
      </c>
      <c r="W88" s="32">
        <f t="shared" si="18"/>
        <v>3658.8622591561643</v>
      </c>
      <c r="X88" s="32">
        <f t="shared" si="19"/>
        <v>3730.6046563945206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8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4597</v>
      </c>
      <c r="Q89" s="170">
        <v>103031</v>
      </c>
      <c r="R89" s="169" t="s">
        <v>4620</v>
      </c>
      <c r="S89" s="169">
        <f>S88-1</f>
        <v>0</v>
      </c>
      <c r="T89" s="73" t="s">
        <v>4621</v>
      </c>
      <c r="U89" s="169">
        <v>2564</v>
      </c>
      <c r="V89" s="99">
        <f>U89*(1+$N$82+$Q$15*S89/36500)</f>
        <v>2592.7168000000001</v>
      </c>
      <c r="W89" s="32">
        <f t="shared" si="18"/>
        <v>2644.571136</v>
      </c>
      <c r="X89" s="32">
        <f t="shared" si="19"/>
        <v>2696.4254720000004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17"/>
        <v>19</v>
      </c>
      <c r="AM89" s="117">
        <f t="shared" si="8"/>
        <v>46550000</v>
      </c>
      <c r="AN89" s="20" t="s">
        <v>4503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4406</v>
      </c>
      <c r="Q90" s="170">
        <v>102925</v>
      </c>
      <c r="R90" s="169" t="s">
        <v>4620</v>
      </c>
      <c r="S90" s="169">
        <f>S89</f>
        <v>0</v>
      </c>
      <c r="T90" s="73" t="s">
        <v>4622</v>
      </c>
      <c r="U90" s="169">
        <v>3415</v>
      </c>
      <c r="V90" s="99">
        <f>U90*(1+$N$82+$Q$15*S90/36500)</f>
        <v>3453.2480000000005</v>
      </c>
      <c r="W90" s="32">
        <f t="shared" si="18"/>
        <v>3522.3129600000007</v>
      </c>
      <c r="X90" s="32">
        <f t="shared" si="19"/>
        <v>3591.3779200000008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4507</v>
      </c>
      <c r="AJ90" s="117">
        <v>1500000</v>
      </c>
      <c r="AK90" s="20">
        <v>1</v>
      </c>
      <c r="AL90" s="99">
        <f t="shared" si="17"/>
        <v>18</v>
      </c>
      <c r="AM90" s="117">
        <f t="shared" si="8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4425</v>
      </c>
      <c r="Q91" s="170"/>
      <c r="R91" s="169"/>
      <c r="S91" s="169"/>
      <c r="T91" s="73"/>
      <c r="U91" s="169"/>
      <c r="V91" s="99"/>
      <c r="W91" s="32"/>
      <c r="X91" s="32"/>
      <c r="Y91" s="115"/>
      <c r="Z91" s="115"/>
      <c r="AA91" s="115"/>
      <c r="AE91"/>
      <c r="AG91" s="96"/>
      <c r="AH91" s="20">
        <v>71</v>
      </c>
      <c r="AI91" s="117" t="s">
        <v>4516</v>
      </c>
      <c r="AJ91" s="117">
        <v>2648000</v>
      </c>
      <c r="AK91" s="20">
        <v>1</v>
      </c>
      <c r="AL91" s="99">
        <f t="shared" si="17"/>
        <v>17</v>
      </c>
      <c r="AM91" s="117">
        <f t="shared" si="8"/>
        <v>45016000</v>
      </c>
      <c r="AN91" s="20" t="s">
        <v>4518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4598</v>
      </c>
      <c r="Q92" s="170"/>
      <c r="R92" s="169"/>
      <c r="S92" s="169"/>
      <c r="T92" s="169"/>
      <c r="U92" s="169"/>
      <c r="V92" s="99" t="s">
        <v>25</v>
      </c>
      <c r="W92" s="32"/>
      <c r="X92" s="32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16</v>
      </c>
      <c r="AM92" s="117">
        <f t="shared" si="8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4410</v>
      </c>
      <c r="Q93" s="113">
        <f>SUM(N41:N51)-SUM(Q54:Q92)</f>
        <v>-31355554.50000003</v>
      </c>
      <c r="R93" s="112"/>
      <c r="S93" s="112"/>
      <c r="T93" s="112"/>
      <c r="U93" s="169"/>
      <c r="V93" s="99" t="s">
        <v>25</v>
      </c>
      <c r="W93" s="32"/>
      <c r="X93" s="32"/>
      <c r="Y93" s="115"/>
      <c r="Z93" s="115"/>
      <c r="AA93" s="115"/>
      <c r="AE93"/>
      <c r="AG93" s="96"/>
      <c r="AH93" s="20">
        <v>73</v>
      </c>
      <c r="AI93" s="117" t="s">
        <v>4531</v>
      </c>
      <c r="AJ93" s="117">
        <v>14000000</v>
      </c>
      <c r="AK93" s="20">
        <v>2</v>
      </c>
      <c r="AL93" s="99">
        <f>AL94+AK93</f>
        <v>12</v>
      </c>
      <c r="AM93" s="117">
        <f t="shared" si="8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4599</v>
      </c>
      <c r="P94" s="115"/>
      <c r="Q94" s="26"/>
      <c r="R94" s="185"/>
      <c r="S94" s="185"/>
      <c r="T94" t="s">
        <v>25</v>
      </c>
      <c r="U94" s="96" t="s">
        <v>25</v>
      </c>
      <c r="V94" s="96" t="s">
        <v>25</v>
      </c>
      <c r="AH94" s="20">
        <v>74</v>
      </c>
      <c r="AI94" s="117" t="s">
        <v>4539</v>
      </c>
      <c r="AJ94" s="117">
        <v>1313000</v>
      </c>
      <c r="AK94" s="20">
        <v>0</v>
      </c>
      <c r="AL94" s="99">
        <f>AL95+AK94</f>
        <v>10</v>
      </c>
      <c r="AM94" s="117">
        <f t="shared" si="8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4600</v>
      </c>
      <c r="P95" s="128"/>
      <c r="R95" t="s">
        <v>25</v>
      </c>
      <c r="T95" t="s">
        <v>25</v>
      </c>
      <c r="U95" s="96" t="s">
        <v>25</v>
      </c>
      <c r="V95" s="96" t="s">
        <v>25</v>
      </c>
      <c r="W95" s="96" t="s">
        <v>25</v>
      </c>
      <c r="AH95" s="99">
        <v>75</v>
      </c>
      <c r="AI95" s="113" t="s">
        <v>4539</v>
      </c>
      <c r="AJ95" s="113">
        <v>2269000</v>
      </c>
      <c r="AK95" s="99">
        <v>1</v>
      </c>
      <c r="AL95" s="99">
        <f t="shared" ref="AL95:AL100" si="20">AL96+AK95</f>
        <v>10</v>
      </c>
      <c r="AM95" s="117">
        <f t="shared" si="8"/>
        <v>22690000</v>
      </c>
      <c r="AN95" s="99"/>
    </row>
    <row r="96" spans="4:52">
      <c r="D96" s="32" t="s">
        <v>314</v>
      </c>
      <c r="E96" s="1">
        <v>140000</v>
      </c>
      <c r="M96" t="s">
        <v>4601</v>
      </c>
      <c r="P96" s="128"/>
      <c r="Q96" t="s">
        <v>25</v>
      </c>
      <c r="R96" t="s">
        <v>25</v>
      </c>
      <c r="T96" t="s">
        <v>25</v>
      </c>
      <c r="U96" s="96" t="s">
        <v>25</v>
      </c>
      <c r="V96" s="122" t="s">
        <v>25</v>
      </c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0"/>
        <v>9</v>
      </c>
      <c r="AM96" s="117">
        <f t="shared" si="8"/>
        <v>6750000</v>
      </c>
      <c r="AN96" s="99"/>
    </row>
    <row r="97" spans="4:47">
      <c r="D97" s="2" t="s">
        <v>478</v>
      </c>
      <c r="E97" s="3">
        <v>1083333</v>
      </c>
      <c r="M97" t="s">
        <v>4602</v>
      </c>
      <c r="P97" s="115"/>
      <c r="Q97" t="s">
        <v>25</v>
      </c>
      <c r="S97" t="s">
        <v>25</v>
      </c>
      <c r="T97" t="s">
        <v>25</v>
      </c>
      <c r="U97" s="96" t="s">
        <v>25</v>
      </c>
      <c r="W97" s="96" t="s">
        <v>25</v>
      </c>
      <c r="AH97" s="99">
        <v>77</v>
      </c>
      <c r="AI97" s="113" t="s">
        <v>4557</v>
      </c>
      <c r="AJ97" s="113">
        <v>1900000</v>
      </c>
      <c r="AK97" s="99">
        <v>3</v>
      </c>
      <c r="AL97" s="99">
        <f t="shared" si="20"/>
        <v>5</v>
      </c>
      <c r="AM97" s="117">
        <f t="shared" si="8"/>
        <v>9500000</v>
      </c>
      <c r="AN97" s="99"/>
    </row>
    <row r="98" spans="4:47">
      <c r="D98" s="2"/>
      <c r="E98" s="3"/>
      <c r="H98" s="96"/>
      <c r="V98" s="96"/>
      <c r="W98"/>
      <c r="AH98" s="99">
        <v>78</v>
      </c>
      <c r="AI98" s="113" t="s">
        <v>4578</v>
      </c>
      <c r="AJ98" s="113">
        <v>6400000</v>
      </c>
      <c r="AK98" s="99">
        <v>1</v>
      </c>
      <c r="AL98" s="99">
        <f t="shared" si="20"/>
        <v>2</v>
      </c>
      <c r="AM98" s="117">
        <f t="shared" si="8"/>
        <v>12800000</v>
      </c>
      <c r="AN98" s="99"/>
    </row>
    <row r="99" spans="4:47">
      <c r="D99" s="2"/>
      <c r="E99" s="3"/>
      <c r="V99" s="96"/>
      <c r="W99"/>
      <c r="AH99" s="99">
        <v>79</v>
      </c>
      <c r="AI99" s="113" t="s">
        <v>4575</v>
      </c>
      <c r="AJ99" s="113">
        <v>5000</v>
      </c>
      <c r="AK99" s="99">
        <v>1</v>
      </c>
      <c r="AL99" s="99">
        <f t="shared" si="20"/>
        <v>1</v>
      </c>
      <c r="AM99" s="117">
        <f t="shared" si="8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s="99" t="s">
        <v>4483</v>
      </c>
      <c r="R100" s="99" t="s">
        <v>4485</v>
      </c>
      <c r="S100" s="99"/>
      <c r="T100" s="99" t="s">
        <v>4486</v>
      </c>
      <c r="U100" s="99"/>
      <c r="V100" s="99"/>
      <c r="AB100" s="96"/>
      <c r="AC100" s="96"/>
      <c r="AH100" s="99"/>
      <c r="AI100" s="113"/>
      <c r="AJ100" s="113"/>
      <c r="AK100" s="99"/>
      <c r="AL100" s="99">
        <f t="shared" si="20"/>
        <v>0</v>
      </c>
      <c r="AM100" s="117">
        <f t="shared" si="8"/>
        <v>0</v>
      </c>
      <c r="AN100" s="99"/>
    </row>
    <row r="101" spans="4:47">
      <c r="D101" s="2" t="s">
        <v>328</v>
      </c>
      <c r="E101" s="3">
        <f>E100/30</f>
        <v>112777.76666666666</v>
      </c>
      <c r="K101" s="169" t="s">
        <v>4603</v>
      </c>
      <c r="L101" s="169" t="s">
        <v>4604</v>
      </c>
      <c r="M101" s="169" t="s">
        <v>4452</v>
      </c>
      <c r="N101" s="56" t="s">
        <v>190</v>
      </c>
      <c r="Q101" s="113">
        <v>1000</v>
      </c>
      <c r="R101" s="99">
        <v>0.25</v>
      </c>
      <c r="S101" s="99"/>
      <c r="T101" s="99">
        <f>1-R101</f>
        <v>0.75</v>
      </c>
      <c r="U101" s="99"/>
      <c r="V101" s="99"/>
      <c r="AB101" s="96"/>
      <c r="AC101" s="96"/>
      <c r="AH101" s="99"/>
      <c r="AI101" s="113"/>
      <c r="AJ101" s="113"/>
      <c r="AK101" s="99"/>
      <c r="AL101" s="99">
        <f t="shared" si="17"/>
        <v>0</v>
      </c>
      <c r="AM101" s="117">
        <f t="shared" si="8"/>
        <v>0</v>
      </c>
      <c r="AN101" s="99"/>
    </row>
    <row r="102" spans="4:47">
      <c r="K102" s="169" t="s">
        <v>4247</v>
      </c>
      <c r="L102" s="170">
        <v>1100000</v>
      </c>
      <c r="M102" s="170">
        <v>1637000</v>
      </c>
      <c r="N102" s="169">
        <f>(M102-L102)*100/L102</f>
        <v>48.81818181818182</v>
      </c>
      <c r="Q102" s="169" t="s">
        <v>4469</v>
      </c>
      <c r="R102" s="169" t="s">
        <v>4488</v>
      </c>
      <c r="S102" s="169" t="s">
        <v>4490</v>
      </c>
      <c r="T102" s="169" t="s">
        <v>180</v>
      </c>
      <c r="U102" s="169" t="s">
        <v>4484</v>
      </c>
      <c r="V102" s="56" t="s">
        <v>4487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K103" s="5" t="s">
        <v>4595</v>
      </c>
      <c r="L103" s="170">
        <v>1100000</v>
      </c>
      <c r="M103" s="170">
        <v>4748000</v>
      </c>
      <c r="N103" s="169">
        <f t="shared" ref="N103:N110" si="21">(M103-L103)*100/L103</f>
        <v>331.63636363636363</v>
      </c>
      <c r="Q103" s="169" t="s">
        <v>751</v>
      </c>
      <c r="R103" s="56">
        <v>759341</v>
      </c>
      <c r="S103" s="113">
        <f>R103*$T$130</f>
        <v>177826961.08828375</v>
      </c>
      <c r="T103" s="169" t="s">
        <v>4482</v>
      </c>
      <c r="U103" s="169">
        <f>$Q$101*$T$101*S103/$R$126</f>
        <v>508.74982803625437</v>
      </c>
      <c r="V103" s="95">
        <f>S103+U103</f>
        <v>177827469.83811179</v>
      </c>
      <c r="X103" s="163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K104" s="5" t="s">
        <v>4597</v>
      </c>
      <c r="L104" s="170">
        <v>1100000</v>
      </c>
      <c r="M104" s="170">
        <v>5137000</v>
      </c>
      <c r="N104" s="169">
        <f t="shared" si="21"/>
        <v>367</v>
      </c>
      <c r="Q104" s="169" t="s">
        <v>4471</v>
      </c>
      <c r="R104" s="56">
        <v>327026</v>
      </c>
      <c r="S104" s="113">
        <f>R104*$T$130</f>
        <v>76584880.543599099</v>
      </c>
      <c r="T104" s="169" t="s">
        <v>4482</v>
      </c>
      <c r="U104" s="169">
        <f>$Q$101*$T$101*S104/$R$126+Q101*R101</f>
        <v>469.10369815851391</v>
      </c>
      <c r="V104" s="95">
        <f>S104+U104</f>
        <v>76585349.647297263</v>
      </c>
      <c r="X104" s="115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K105" s="19" t="s">
        <v>4406</v>
      </c>
      <c r="L105" s="170">
        <v>1100000</v>
      </c>
      <c r="M105" s="170">
        <v>4300000</v>
      </c>
      <c r="N105" s="169">
        <f t="shared" si="21"/>
        <v>290.90909090909093</v>
      </c>
      <c r="Q105" s="169" t="s">
        <v>4470</v>
      </c>
      <c r="R105" s="56">
        <v>33055</v>
      </c>
      <c r="S105" s="113">
        <f>R105*$T$130</f>
        <v>7741015.1681171171</v>
      </c>
      <c r="T105" s="169" t="s">
        <v>4482</v>
      </c>
      <c r="U105" s="169">
        <f>$Q$101*$T$101*S105/$R$126</f>
        <v>22.146473805231629</v>
      </c>
      <c r="V105" s="95">
        <f>S105+U105</f>
        <v>7741037.3145909226</v>
      </c>
      <c r="X105" s="115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K106" s="5" t="s">
        <v>4425</v>
      </c>
      <c r="L106" s="170">
        <v>1100000</v>
      </c>
      <c r="M106" s="170">
        <v>3191000</v>
      </c>
      <c r="N106" s="169">
        <f t="shared" si="21"/>
        <v>190.09090909090909</v>
      </c>
      <c r="Q106" s="169"/>
      <c r="R106" s="56"/>
      <c r="S106" s="169"/>
      <c r="T106" s="169"/>
      <c r="U106" s="169"/>
      <c r="V106" s="99"/>
      <c r="X106" s="115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K107" s="5" t="s">
        <v>4598</v>
      </c>
      <c r="L107" s="170">
        <v>1100000</v>
      </c>
      <c r="M107" s="170">
        <v>5623000</v>
      </c>
      <c r="N107" s="169">
        <f t="shared" si="21"/>
        <v>411.18181818181819</v>
      </c>
      <c r="Q107" s="169"/>
      <c r="R107" s="56"/>
      <c r="S107" s="169"/>
      <c r="T107" s="169"/>
      <c r="U107" s="169"/>
      <c r="V107" s="16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K108" s="19" t="s">
        <v>4410</v>
      </c>
      <c r="L108" s="170">
        <v>1100000</v>
      </c>
      <c r="M108" s="170">
        <v>7728000</v>
      </c>
      <c r="N108" s="169">
        <f t="shared" si="21"/>
        <v>602.5454545454545</v>
      </c>
      <c r="Q108" s="169"/>
      <c r="R108" s="169"/>
      <c r="S108" s="169"/>
      <c r="T108" s="169"/>
      <c r="U108" s="169"/>
      <c r="V108" s="169"/>
      <c r="W108" s="115"/>
      <c r="X108" s="96"/>
      <c r="AB108" s="96"/>
      <c r="AC108" s="96"/>
      <c r="AI108" t="s">
        <v>4067</v>
      </c>
      <c r="AJ108" s="114">
        <f>SUM(N39:N51)-N43</f>
        <v>232100706.49999997</v>
      </c>
    </row>
    <row r="109" spans="4:47">
      <c r="K109" s="5" t="s">
        <v>4602</v>
      </c>
      <c r="L109" s="170">
        <v>1100000</v>
      </c>
      <c r="M109" s="170">
        <v>2904000</v>
      </c>
      <c r="N109" s="169">
        <f t="shared" si="21"/>
        <v>164</v>
      </c>
      <c r="Q109" s="99"/>
      <c r="R109" s="99"/>
      <c r="S109" s="99"/>
      <c r="T109" s="99" t="s">
        <v>25</v>
      </c>
      <c r="U109" s="99"/>
      <c r="V109" s="99"/>
      <c r="W109" s="115"/>
      <c r="X109" s="96"/>
      <c r="AC109" s="96"/>
      <c r="AD109" s="96"/>
      <c r="AE109"/>
      <c r="AF109"/>
      <c r="AI109" t="s">
        <v>4139</v>
      </c>
      <c r="AJ109" s="114">
        <f>AJ108-AJ102</f>
        <v>-1488393.5000000298</v>
      </c>
      <c r="AM109" t="s">
        <v>25</v>
      </c>
    </row>
    <row r="110" spans="4:47">
      <c r="K110" s="56" t="s">
        <v>1086</v>
      </c>
      <c r="L110" s="170">
        <v>1100000</v>
      </c>
      <c r="M110" s="170">
        <v>3400000</v>
      </c>
      <c r="N110" s="169">
        <f t="shared" si="21"/>
        <v>209.09090909090909</v>
      </c>
      <c r="Q110" s="99"/>
      <c r="R110" s="99"/>
      <c r="S110" s="99"/>
      <c r="T110" s="99"/>
      <c r="U110" s="99"/>
      <c r="V110" s="99"/>
      <c r="W110" s="115"/>
      <c r="X110" s="96"/>
      <c r="AI110" t="s">
        <v>943</v>
      </c>
      <c r="AJ110" s="114">
        <f>AN102</f>
        <v>16865299.507741936</v>
      </c>
    </row>
    <row r="111" spans="4:47">
      <c r="Q111" s="99"/>
      <c r="R111" s="99"/>
      <c r="S111" s="99"/>
      <c r="T111" s="99"/>
      <c r="U111" s="99"/>
      <c r="V111" s="99"/>
      <c r="W111" s="115"/>
      <c r="X111" s="96"/>
      <c r="AI111" t="s">
        <v>4068</v>
      </c>
      <c r="AJ111" s="114">
        <f>AJ108-AJ107</f>
        <v>-18353693.007741958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X112" s="115"/>
      <c r="AM112" t="s">
        <v>25</v>
      </c>
    </row>
    <row r="113" spans="17:43">
      <c r="Q113" s="96"/>
      <c r="R113" s="96"/>
      <c r="S113" s="96"/>
      <c r="T113" s="96"/>
      <c r="V113" s="96"/>
      <c r="AJ113" t="s">
        <v>25</v>
      </c>
    </row>
    <row r="114" spans="17:43">
      <c r="Q114" s="96"/>
      <c r="R114" s="96"/>
      <c r="S114" s="96"/>
      <c r="T114" s="96" t="s">
        <v>25</v>
      </c>
      <c r="V114" s="96"/>
    </row>
    <row r="115" spans="17:43">
      <c r="Q115" s="96"/>
      <c r="R115" s="96"/>
      <c r="S115" s="96"/>
      <c r="T115" s="96"/>
      <c r="V115" s="96"/>
    </row>
    <row r="116" spans="17:43">
      <c r="Q116" s="96"/>
      <c r="R116" s="96"/>
      <c r="S116" s="96"/>
      <c r="T116" s="99" t="s">
        <v>180</v>
      </c>
      <c r="U116" s="99" t="s">
        <v>4508</v>
      </c>
      <c r="V116" s="99" t="s">
        <v>4509</v>
      </c>
      <c r="W116" s="99" t="s">
        <v>4523</v>
      </c>
      <c r="X116" s="99" t="s">
        <v>8</v>
      </c>
    </row>
    <row r="117" spans="17:43" ht="30">
      <c r="Q117" s="36" t="s">
        <v>4474</v>
      </c>
      <c r="R117" s="95">
        <f>SUM(N41:N51)</f>
        <v>227601355.49999997</v>
      </c>
      <c r="T117" s="113" t="s">
        <v>4482</v>
      </c>
      <c r="U117" s="56">
        <v>1000000</v>
      </c>
      <c r="V117" s="113">
        <v>239.024</v>
      </c>
      <c r="W117" s="113">
        <f>U117*V117</f>
        <v>239024000</v>
      </c>
      <c r="X117" s="99"/>
    </row>
    <row r="118" spans="17:43">
      <c r="Q118" s="99" t="s">
        <v>4472</v>
      </c>
      <c r="R118" s="95">
        <f>SUM(N21:N24)</f>
        <v>23544504.800000001</v>
      </c>
      <c r="T118" s="169" t="s">
        <v>4460</v>
      </c>
      <c r="U118" s="56">
        <v>5904</v>
      </c>
      <c r="V118" s="113">
        <v>237.148</v>
      </c>
      <c r="W118" s="113">
        <f t="shared" ref="W118:W126" si="22">U118*V118</f>
        <v>1400121.7919999999</v>
      </c>
      <c r="X118" s="99" t="s">
        <v>751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4473</v>
      </c>
      <c r="R119" s="95">
        <f>SUM(N27:N28)</f>
        <v>2760965.5</v>
      </c>
      <c r="T119" s="169" t="s">
        <v>4235</v>
      </c>
      <c r="U119" s="169">
        <v>1000</v>
      </c>
      <c r="V119" s="113">
        <v>247.393</v>
      </c>
      <c r="W119" s="113">
        <f t="shared" si="22"/>
        <v>247393</v>
      </c>
      <c r="X119" s="99" t="s">
        <v>751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157</v>
      </c>
      <c r="AM119" s="99">
        <f>AJ119*AL119</f>
        <v>558263740</v>
      </c>
      <c r="AN119" s="99" t="s">
        <v>4326</v>
      </c>
    </row>
    <row r="120" spans="17:43">
      <c r="Q120" s="99" t="s">
        <v>4475</v>
      </c>
      <c r="R120" s="95">
        <f>N39</f>
        <v>5097506</v>
      </c>
      <c r="T120" s="169" t="s">
        <v>4527</v>
      </c>
      <c r="U120" s="169">
        <v>8071</v>
      </c>
      <c r="V120" s="113">
        <v>247.797</v>
      </c>
      <c r="W120" s="113">
        <f t="shared" si="22"/>
        <v>1999969.5870000001</v>
      </c>
      <c r="X120" s="99" t="s">
        <v>4470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3">AK120+AL121</f>
        <v>155</v>
      </c>
      <c r="AM120" s="99">
        <f t="shared" ref="AM120:AM144" si="24">AJ120*AL120</f>
        <v>266729735</v>
      </c>
      <c r="AN120" s="99" t="s">
        <v>4327</v>
      </c>
      <c r="AO120" t="s">
        <v>25</v>
      </c>
    </row>
    <row r="121" spans="17:43">
      <c r="Q121" s="99" t="s">
        <v>4476</v>
      </c>
      <c r="R121" s="95">
        <f>N20</f>
        <v>0</v>
      </c>
      <c r="T121" s="169" t="s">
        <v>4527</v>
      </c>
      <c r="U121" s="169">
        <v>53672</v>
      </c>
      <c r="V121" s="113">
        <v>247.797</v>
      </c>
      <c r="W121" s="113">
        <f t="shared" si="22"/>
        <v>13299760.584000001</v>
      </c>
      <c r="X121" s="99" t="s">
        <v>452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3"/>
        <v>104</v>
      </c>
      <c r="AM121" s="99">
        <f t="shared" si="24"/>
        <v>15600000</v>
      </c>
      <c r="AN121" s="99"/>
      <c r="AP121" t="s">
        <v>25</v>
      </c>
    </row>
    <row r="122" spans="17:43">
      <c r="Q122" s="99" t="s">
        <v>4477</v>
      </c>
      <c r="R122" s="95">
        <f>N26</f>
        <v>9</v>
      </c>
      <c r="T122" s="169" t="s">
        <v>4539</v>
      </c>
      <c r="U122" s="169">
        <v>4099</v>
      </c>
      <c r="V122" s="113">
        <v>243.93</v>
      </c>
      <c r="W122" s="113">
        <f t="shared" si="22"/>
        <v>999869.07000000007</v>
      </c>
      <c r="X122" s="99" t="s">
        <v>4470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3"/>
        <v>101</v>
      </c>
      <c r="AM122" s="99">
        <f t="shared" si="24"/>
        <v>-9595000</v>
      </c>
      <c r="AN122" s="99"/>
      <c r="AQ122" t="s">
        <v>25</v>
      </c>
    </row>
    <row r="123" spans="17:43">
      <c r="Q123" s="99" t="s">
        <v>4489</v>
      </c>
      <c r="R123" s="95">
        <v>3148516</v>
      </c>
      <c r="T123" s="169" t="s">
        <v>4539</v>
      </c>
      <c r="U123" s="169">
        <v>9301</v>
      </c>
      <c r="V123" s="113">
        <v>243.93</v>
      </c>
      <c r="W123" s="113">
        <f t="shared" si="22"/>
        <v>2268792.9300000002</v>
      </c>
      <c r="X123" s="99" t="s">
        <v>452</v>
      </c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3"/>
        <v>93</v>
      </c>
      <c r="AM123" s="99">
        <f t="shared" si="24"/>
        <v>292950000</v>
      </c>
      <c r="AN123" s="99"/>
    </row>
    <row r="124" spans="17:43">
      <c r="Q124" s="99"/>
      <c r="R124" s="95">
        <v>0</v>
      </c>
      <c r="T124" s="169" t="s">
        <v>4556</v>
      </c>
      <c r="U124" s="169">
        <v>8334</v>
      </c>
      <c r="V124" s="113">
        <v>239.97</v>
      </c>
      <c r="W124" s="113">
        <f t="shared" si="22"/>
        <v>1999909.98</v>
      </c>
      <c r="X124" s="99" t="s">
        <v>4470</v>
      </c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3"/>
        <v>77</v>
      </c>
      <c r="AM124" s="99">
        <f t="shared" si="24"/>
        <v>-5005000</v>
      </c>
      <c r="AN124" s="99"/>
    </row>
    <row r="125" spans="17:43">
      <c r="Q125" s="99"/>
      <c r="R125" s="95">
        <v>0</v>
      </c>
      <c r="T125" s="169" t="s">
        <v>4234</v>
      </c>
      <c r="U125" s="169">
        <v>29041</v>
      </c>
      <c r="V125" s="113">
        <v>233.45</v>
      </c>
      <c r="W125" s="113">
        <f t="shared" si="22"/>
        <v>6779621.4499999993</v>
      </c>
      <c r="X125" s="99" t="s">
        <v>751</v>
      </c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3"/>
        <v>76</v>
      </c>
      <c r="AM125" s="99">
        <f t="shared" si="24"/>
        <v>-7220000</v>
      </c>
      <c r="AN125" s="99"/>
    </row>
    <row r="126" spans="17:43">
      <c r="Q126" s="99" t="s">
        <v>4481</v>
      </c>
      <c r="R126" s="95">
        <f>SUM(R117:R125)</f>
        <v>262152856.79999998</v>
      </c>
      <c r="S126" s="115"/>
      <c r="T126" s="169"/>
      <c r="U126" s="169"/>
      <c r="V126" s="113"/>
      <c r="W126" s="113">
        <f t="shared" si="22"/>
        <v>0</v>
      </c>
      <c r="X126" s="99"/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3"/>
        <v>70</v>
      </c>
      <c r="AM126" s="99">
        <f t="shared" si="24"/>
        <v>16240000</v>
      </c>
      <c r="AN126" s="99"/>
    </row>
    <row r="127" spans="17:43">
      <c r="Q127" s="96"/>
      <c r="S127" s="122"/>
      <c r="T127" s="169"/>
      <c r="U127" s="169">
        <f>SUM(U117:U125)</f>
        <v>1119422</v>
      </c>
      <c r="V127" s="99"/>
      <c r="W127" s="99"/>
      <c r="X127" s="99"/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3"/>
        <v>63</v>
      </c>
      <c r="AM127" s="99">
        <f t="shared" si="24"/>
        <v>819000000</v>
      </c>
      <c r="AN127" s="99"/>
    </row>
    <row r="128" spans="17:43">
      <c r="Q128" s="96"/>
      <c r="R128" s="186"/>
      <c r="S128" s="115"/>
      <c r="T128" s="99"/>
      <c r="U128" s="99" t="s">
        <v>6</v>
      </c>
      <c r="V128" s="99"/>
      <c r="W128" s="99"/>
      <c r="X128" s="99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3"/>
        <v>61</v>
      </c>
      <c r="AM128" s="99">
        <f t="shared" si="24"/>
        <v>610000000</v>
      </c>
      <c r="AN128" s="99"/>
    </row>
    <row r="129" spans="17:40">
      <c r="Q129" s="96"/>
      <c r="R129" s="186"/>
      <c r="S129" s="115"/>
      <c r="T129" s="206" t="s">
        <v>4510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3"/>
        <v>58</v>
      </c>
      <c r="AM129" s="99">
        <f t="shared" si="24"/>
        <v>197200000</v>
      </c>
      <c r="AN129" s="99"/>
    </row>
    <row r="130" spans="17:40">
      <c r="Q130" s="96"/>
      <c r="R130" s="115"/>
      <c r="T130" s="205">
        <f>R126/U127</f>
        <v>234.18590737005346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49</v>
      </c>
      <c r="AM130" s="99">
        <f t="shared" si="24"/>
        <v>-428089186</v>
      </c>
      <c r="AN130" s="99"/>
    </row>
    <row r="131" spans="17:40">
      <c r="W131" s="114"/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5">AK131+AL132</f>
        <v>48</v>
      </c>
      <c r="AM131" s="99">
        <f t="shared" si="24"/>
        <v>26640000</v>
      </c>
      <c r="AN131" s="99"/>
    </row>
    <row r="132" spans="17:40">
      <c r="Q132" s="99" t="s">
        <v>4470</v>
      </c>
      <c r="R132" s="99"/>
      <c r="U132" s="96" t="s">
        <v>267</v>
      </c>
      <c r="V132" t="s">
        <v>4511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5"/>
        <v>43</v>
      </c>
      <c r="AM132" s="99">
        <f t="shared" si="24"/>
        <v>-19277244</v>
      </c>
      <c r="AN132" s="99"/>
    </row>
    <row r="133" spans="17:40">
      <c r="Q133" s="36" t="s">
        <v>180</v>
      </c>
      <c r="R133" s="99" t="s">
        <v>267</v>
      </c>
      <c r="U133" s="113">
        <v>6780000</v>
      </c>
      <c r="V133">
        <f>U133/T130</f>
        <v>28951.357817131371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5"/>
        <v>37</v>
      </c>
      <c r="AM133" s="99">
        <f t="shared" si="24"/>
        <v>1229325</v>
      </c>
      <c r="AN133" s="99"/>
    </row>
    <row r="134" spans="17:40">
      <c r="Q134" s="99" t="s">
        <v>4460</v>
      </c>
      <c r="R134" s="95">
        <v>3000000</v>
      </c>
      <c r="X134" t="s">
        <v>25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5"/>
        <v>37</v>
      </c>
      <c r="AM134" s="149">
        <f t="shared" si="24"/>
        <v>151645351</v>
      </c>
      <c r="AN134" s="149" t="s">
        <v>657</v>
      </c>
    </row>
    <row r="135" spans="17:40">
      <c r="Q135" s="99" t="s">
        <v>4527</v>
      </c>
      <c r="R135" s="95">
        <v>2000000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5"/>
        <v>35</v>
      </c>
      <c r="AM135" s="149">
        <f t="shared" si="24"/>
        <v>-35000000</v>
      </c>
      <c r="AN135" s="149" t="s">
        <v>657</v>
      </c>
    </row>
    <row r="136" spans="17:40">
      <c r="Q136" s="99" t="s">
        <v>4539</v>
      </c>
      <c r="R136" s="95">
        <v>1000000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5"/>
        <v>28</v>
      </c>
      <c r="AM136" s="149">
        <f t="shared" si="24"/>
        <v>21000000</v>
      </c>
      <c r="AN136" s="149" t="s">
        <v>657</v>
      </c>
    </row>
    <row r="137" spans="17:40">
      <c r="Q137" s="99" t="s">
        <v>4556</v>
      </c>
      <c r="R137" s="95">
        <v>2000000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5"/>
        <v>27</v>
      </c>
      <c r="AM137" s="201">
        <f t="shared" si="24"/>
        <v>-16312104</v>
      </c>
      <c r="AN137" s="201" t="s">
        <v>657</v>
      </c>
    </row>
    <row r="138" spans="17:40" ht="60">
      <c r="Q138" s="99"/>
      <c r="R138" s="95"/>
      <c r="T138" s="22" t="s">
        <v>4492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5"/>
        <v>27</v>
      </c>
      <c r="AM138" s="99">
        <f t="shared" si="24"/>
        <v>-15851241</v>
      </c>
      <c r="AN138" s="99"/>
    </row>
    <row r="139" spans="17:40" ht="45">
      <c r="Q139" s="99"/>
      <c r="R139" s="95"/>
      <c r="T139" s="22" t="s">
        <v>4493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5"/>
        <v>23</v>
      </c>
      <c r="AM139" s="201">
        <f t="shared" si="24"/>
        <v>-17350073</v>
      </c>
      <c r="AN139" s="201" t="s">
        <v>657</v>
      </c>
    </row>
    <row r="140" spans="17:40">
      <c r="Q140" s="99"/>
      <c r="R140" s="95">
        <f>SUM(R134:R138)</f>
        <v>8000000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5"/>
        <v>23</v>
      </c>
      <c r="AM140" s="99">
        <f t="shared" si="24"/>
        <v>-4361237</v>
      </c>
      <c r="AN140" s="99"/>
    </row>
    <row r="141" spans="17:40">
      <c r="Q141" s="99"/>
      <c r="R141" s="99" t="s">
        <v>6</v>
      </c>
      <c r="AH141" s="201">
        <v>23</v>
      </c>
      <c r="AI141" s="201" t="s">
        <v>4562</v>
      </c>
      <c r="AJ141" s="201">
        <v>7100</v>
      </c>
      <c r="AK141" s="201">
        <v>0</v>
      </c>
      <c r="AL141" s="99">
        <f t="shared" si="25"/>
        <v>8</v>
      </c>
      <c r="AM141" s="201">
        <f t="shared" si="24"/>
        <v>56800</v>
      </c>
      <c r="AN141" s="201" t="s">
        <v>657</v>
      </c>
    </row>
    <row r="142" spans="17:40">
      <c r="T142" s="99" t="s">
        <v>4512</v>
      </c>
      <c r="U142" s="99" t="s">
        <v>4481</v>
      </c>
      <c r="V142" s="99" t="s">
        <v>953</v>
      </c>
      <c r="AH142" s="20">
        <v>24</v>
      </c>
      <c r="AI142" s="20" t="s">
        <v>4562</v>
      </c>
      <c r="AJ142" s="20">
        <v>-147902</v>
      </c>
      <c r="AK142" s="20">
        <v>3</v>
      </c>
      <c r="AL142" s="99">
        <f t="shared" si="25"/>
        <v>8</v>
      </c>
      <c r="AM142" s="201">
        <f t="shared" si="24"/>
        <v>-1183216</v>
      </c>
      <c r="AN142" s="20"/>
    </row>
    <row r="143" spans="17:40">
      <c r="Q143" s="96"/>
      <c r="R143" s="96"/>
      <c r="T143" s="95">
        <f>R140+R153+R162</f>
        <v>268019393</v>
      </c>
      <c r="U143" s="95">
        <f>R126</f>
        <v>262152856.79999998</v>
      </c>
      <c r="V143" s="95">
        <f>U143-T143</f>
        <v>-5866536.2000000179</v>
      </c>
      <c r="AH143" s="149">
        <v>25</v>
      </c>
      <c r="AI143" s="149" t="s">
        <v>4575</v>
      </c>
      <c r="AJ143" s="149">
        <v>-37200</v>
      </c>
      <c r="AK143" s="149">
        <v>4</v>
      </c>
      <c r="AL143" s="99">
        <f t="shared" si="25"/>
        <v>5</v>
      </c>
      <c r="AM143" s="201">
        <f t="shared" si="24"/>
        <v>-186000</v>
      </c>
      <c r="AN143" s="149" t="s">
        <v>657</v>
      </c>
    </row>
    <row r="144" spans="17:40">
      <c r="Q144" s="96"/>
      <c r="R144" s="96"/>
      <c r="AH144" s="99">
        <v>26</v>
      </c>
      <c r="AI144" s="99" t="s">
        <v>4617</v>
      </c>
      <c r="AJ144" s="99">
        <v>-372326</v>
      </c>
      <c r="AK144" s="99">
        <v>1</v>
      </c>
      <c r="AL144" s="99">
        <f t="shared" si="23"/>
        <v>1</v>
      </c>
      <c r="AM144" s="99">
        <f t="shared" si="24"/>
        <v>-372326</v>
      </c>
      <c r="AN144" s="99"/>
    </row>
    <row r="145" spans="17:44"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751</v>
      </c>
      <c r="R146" s="99"/>
      <c r="AH146" s="99"/>
      <c r="AI146" s="99"/>
      <c r="AJ146" s="95">
        <f>SUM(AJ119:AJ145)</f>
        <v>27520050</v>
      </c>
      <c r="AK146" s="99"/>
      <c r="AL146" s="99"/>
      <c r="AM146" s="99">
        <f>SUM(AM119:AM145)</f>
        <v>2416752324</v>
      </c>
      <c r="AN146" s="95">
        <f>AM146*AN105/31</f>
        <v>1559195.0477419356</v>
      </c>
      <c r="AR146" t="s">
        <v>25</v>
      </c>
    </row>
    <row r="147" spans="17:44">
      <c r="Q147" s="99" t="s">
        <v>4460</v>
      </c>
      <c r="R147" s="95">
        <v>172908000</v>
      </c>
      <c r="AJ147" t="s">
        <v>4062</v>
      </c>
      <c r="AM147" t="s">
        <v>284</v>
      </c>
      <c r="AN147" t="s">
        <v>943</v>
      </c>
    </row>
    <row r="148" spans="17:44">
      <c r="Q148" s="99" t="s">
        <v>4507</v>
      </c>
      <c r="R148" s="95">
        <v>1400000</v>
      </c>
    </row>
    <row r="149" spans="17:44">
      <c r="Q149" s="99" t="s">
        <v>4235</v>
      </c>
      <c r="R149" s="95">
        <v>247393</v>
      </c>
      <c r="AI149" t="s">
        <v>4064</v>
      </c>
      <c r="AJ149" s="114">
        <f>AJ146+AN146</f>
        <v>29079245.047741935</v>
      </c>
    </row>
    <row r="150" spans="17:44">
      <c r="Q150" s="99" t="s">
        <v>4234</v>
      </c>
      <c r="R150" s="95">
        <v>6780000</v>
      </c>
      <c r="AI150" t="s">
        <v>4067</v>
      </c>
      <c r="AJ150" s="114">
        <f>SUM(N20:N28)</f>
        <v>26305479.300000001</v>
      </c>
    </row>
    <row r="151" spans="17:44">
      <c r="Q151" s="99"/>
      <c r="R151" s="95"/>
      <c r="AI151" t="s">
        <v>4139</v>
      </c>
      <c r="AJ151" s="114">
        <f>AJ150-AJ146</f>
        <v>-1214570.6999999993</v>
      </c>
    </row>
    <row r="152" spans="17:44">
      <c r="Q152" s="99"/>
      <c r="R152" s="95"/>
      <c r="AI152" t="s">
        <v>943</v>
      </c>
      <c r="AJ152" s="114">
        <f>AN146</f>
        <v>1559195.0477419356</v>
      </c>
    </row>
    <row r="153" spans="17:44">
      <c r="Q153" s="99"/>
      <c r="R153" s="95">
        <f>SUM(R147:R151)</f>
        <v>181335393</v>
      </c>
      <c r="AI153" t="s">
        <v>4068</v>
      </c>
      <c r="AJ153" s="114">
        <f>AJ151-AJ152</f>
        <v>-2773765.7477419348</v>
      </c>
    </row>
    <row r="154" spans="17:44">
      <c r="Q154" s="99"/>
      <c r="R154" s="99" t="s">
        <v>6</v>
      </c>
    </row>
    <row r="157" spans="17:44">
      <c r="Q157" s="99" t="s">
        <v>452</v>
      </c>
      <c r="R157" s="99"/>
    </row>
    <row r="158" spans="17:44">
      <c r="Q158" s="99" t="s">
        <v>4460</v>
      </c>
      <c r="R158" s="95">
        <v>63115000</v>
      </c>
    </row>
    <row r="159" spans="17:44">
      <c r="Q159" s="99" t="s">
        <v>4527</v>
      </c>
      <c r="R159" s="95">
        <v>13300000</v>
      </c>
      <c r="T159" t="s">
        <v>25</v>
      </c>
    </row>
    <row r="160" spans="17:44">
      <c r="Q160" s="99" t="s">
        <v>4539</v>
      </c>
      <c r="R160" s="95">
        <v>2269000</v>
      </c>
    </row>
    <row r="161" spans="17:18">
      <c r="Q161" s="99"/>
      <c r="R161" s="95"/>
    </row>
    <row r="162" spans="17:18">
      <c r="Q162" s="99"/>
      <c r="R162" s="95">
        <f>SUM(R158:R160)</f>
        <v>78684000</v>
      </c>
    </row>
    <row r="163" spans="17:18">
      <c r="Q163" s="99"/>
      <c r="R163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4 S67 S85:S86 S8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B6" sqref="B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4509</v>
      </c>
      <c r="M1" s="169" t="s">
        <v>937</v>
      </c>
      <c r="N1" s="56" t="s">
        <v>940</v>
      </c>
      <c r="O1" s="99" t="s">
        <v>8</v>
      </c>
    </row>
    <row r="2" spans="1:15" ht="30">
      <c r="A2" s="99" t="s">
        <v>4247</v>
      </c>
      <c r="B2" s="209">
        <v>1640</v>
      </c>
      <c r="C2" s="211" t="s">
        <v>4624</v>
      </c>
      <c r="D2" s="99" t="s">
        <v>4531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4531</v>
      </c>
      <c r="J3" s="169">
        <v>2</v>
      </c>
      <c r="K3" s="169" t="s">
        <v>4527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4626</v>
      </c>
      <c r="B5" s="209">
        <v>-56000</v>
      </c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4577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4516</v>
      </c>
    </row>
    <row r="12" spans="1:15">
      <c r="A12" s="99"/>
      <c r="B12" s="209">
        <v>3880000</v>
      </c>
      <c r="C12" s="170"/>
      <c r="D12" s="99" t="s">
        <v>4525</v>
      </c>
      <c r="L12">
        <f>140-M6-3</f>
        <v>121</v>
      </c>
      <c r="M12">
        <f>75-3-M2-M4</f>
        <v>60</v>
      </c>
    </row>
    <row r="13" spans="1:15">
      <c r="A13" s="99" t="s">
        <v>4532</v>
      </c>
      <c r="B13" s="210"/>
      <c r="C13" s="170">
        <v>3894000</v>
      </c>
      <c r="D13" s="99" t="s">
        <v>4527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4527</v>
      </c>
    </row>
    <row r="15" spans="1:15">
      <c r="A15" s="99"/>
      <c r="B15" s="209"/>
      <c r="C15" s="170">
        <v>3845000</v>
      </c>
      <c r="D15" s="99" t="s">
        <v>4527</v>
      </c>
    </row>
    <row r="16" spans="1:15">
      <c r="A16" s="99"/>
      <c r="B16" s="209"/>
      <c r="C16" s="170">
        <v>3845000</v>
      </c>
      <c r="D16" s="99" t="s">
        <v>4527</v>
      </c>
    </row>
    <row r="17" spans="1:18">
      <c r="A17" s="99" t="s">
        <v>4536</v>
      </c>
      <c r="B17" s="209">
        <v>3990000</v>
      </c>
      <c r="C17" s="170"/>
      <c r="D17" s="99" t="s">
        <v>4531</v>
      </c>
      <c r="G17" s="169" t="s">
        <v>4576</v>
      </c>
      <c r="H17" s="169" t="s">
        <v>4306</v>
      </c>
      <c r="I17" s="169" t="s">
        <v>4247</v>
      </c>
      <c r="J17" s="169" t="s">
        <v>4613</v>
      </c>
      <c r="K17" s="169"/>
      <c r="L17" s="41"/>
      <c r="M17" s="41"/>
      <c r="N17" s="169" t="s">
        <v>4593</v>
      </c>
      <c r="O17" s="169" t="s">
        <v>1086</v>
      </c>
      <c r="P17" s="169" t="s">
        <v>4247</v>
      </c>
      <c r="Q17" s="169" t="s">
        <v>4613</v>
      </c>
      <c r="R17" s="169"/>
    </row>
    <row r="18" spans="1:18">
      <c r="A18" s="99"/>
      <c r="B18" s="209">
        <v>3915000</v>
      </c>
      <c r="C18" s="170"/>
      <c r="D18" s="99" t="s">
        <v>4533</v>
      </c>
      <c r="G18" s="169" t="s">
        <v>4589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4575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9">
        <v>3821000</v>
      </c>
      <c r="C19" s="170"/>
      <c r="D19" s="99" t="s">
        <v>4539</v>
      </c>
      <c r="G19" s="169" t="s">
        <v>4588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9">
        <v>3610000</v>
      </c>
      <c r="C20" s="170"/>
      <c r="D20" s="99" t="s">
        <v>4557</v>
      </c>
      <c r="G20" s="169" t="s">
        <v>4590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4592</v>
      </c>
      <c r="B21" s="209"/>
      <c r="C21" s="170">
        <v>3421299</v>
      </c>
      <c r="D21" s="99" t="s">
        <v>4234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 t="s">
        <v>4619</v>
      </c>
      <c r="B22" s="209"/>
      <c r="C22" s="170">
        <v>3490000</v>
      </c>
      <c r="D22" s="99" t="s">
        <v>4234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/>
      <c r="B23" s="209"/>
      <c r="C23" s="170"/>
      <c r="D23" s="99"/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/>
      <c r="B24" s="170"/>
      <c r="C24" s="170"/>
      <c r="D24" s="99"/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B25" s="58"/>
      <c r="C25" s="58"/>
      <c r="D25" s="115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B26" t="s">
        <v>25</v>
      </c>
    </row>
    <row r="27" spans="1:18">
      <c r="B27" s="114">
        <f>SUM(C11:C24)-SUM(B11:B24)</f>
        <v>-840701</v>
      </c>
      <c r="C27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2018-12-24T11:48:02Z</dcterms:modified>
</cp:coreProperties>
</file>