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R153" i="18" l="1"/>
  <c r="W128" i="18"/>
  <c r="L16" i="52"/>
  <c r="M10" i="52"/>
  <c r="M16" i="52"/>
  <c r="N56" i="18"/>
  <c r="N55" i="18"/>
  <c r="N54" i="18"/>
  <c r="N53" i="18"/>
  <c r="N52" i="18"/>
  <c r="D292" i="20" l="1"/>
  <c r="C8" i="36"/>
  <c r="R164" i="18"/>
  <c r="W127" i="18"/>
  <c r="AJ129" i="18"/>
  <c r="M17" i="52"/>
  <c r="N5" i="52"/>
  <c r="N50" i="18" l="1"/>
  <c r="N49" i="18"/>
  <c r="D291" i="20"/>
  <c r="D290" i="20" l="1"/>
  <c r="D289" i="20" l="1"/>
  <c r="N51" i="18" l="1"/>
  <c r="P27" i="18" l="1"/>
  <c r="N27" i="18" s="1"/>
  <c r="P23" i="18"/>
  <c r="N23" i="18" s="1"/>
  <c r="AL174" i="18"/>
  <c r="AL173" i="18" s="1"/>
  <c r="AL172" i="18" s="1"/>
  <c r="AL171" i="18" s="1"/>
  <c r="AL170" i="18" s="1"/>
  <c r="B299" i="20"/>
  <c r="D288" i="20"/>
  <c r="AM172" i="18" l="1"/>
  <c r="AM174" i="18"/>
  <c r="AM173" i="18"/>
  <c r="AM171" i="18"/>
  <c r="K24" i="52"/>
  <c r="D287" i="20" l="1"/>
  <c r="D286" i="20"/>
  <c r="F15" i="52"/>
  <c r="AB3" i="49" l="1"/>
  <c r="AB4" i="49"/>
  <c r="AB5" i="49"/>
  <c r="D285" i="20" l="1"/>
  <c r="W126" i="18"/>
  <c r="J293" i="20" l="1"/>
  <c r="K293" i="20"/>
  <c r="J294" i="20"/>
  <c r="K294" i="20"/>
  <c r="J295" i="20"/>
  <c r="K295" i="20"/>
  <c r="J296" i="20"/>
  <c r="K296" i="20"/>
  <c r="J297" i="20"/>
  <c r="K297" i="20"/>
  <c r="I293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J292" i="20" l="1"/>
  <c r="I292" i="20"/>
  <c r="K292" i="20"/>
  <c r="J291" i="20"/>
  <c r="K291" i="20"/>
  <c r="I291" i="20"/>
  <c r="J290" i="20"/>
  <c r="J289" i="20"/>
  <c r="K290" i="20"/>
  <c r="I290" i="20"/>
  <c r="I289" i="20"/>
  <c r="K289" i="20"/>
  <c r="J288" i="20"/>
  <c r="K288" i="20"/>
  <c r="I288" i="20"/>
  <c r="J287" i="20"/>
  <c r="I287" i="20"/>
  <c r="K287" i="20"/>
  <c r="J286" i="20"/>
  <c r="K286" i="20"/>
  <c r="I286" i="20"/>
  <c r="K285" i="20"/>
  <c r="I285" i="20"/>
  <c r="J285" i="20"/>
  <c r="K284" i="20"/>
  <c r="J284" i="20"/>
  <c r="K283" i="20"/>
  <c r="I284" i="20"/>
  <c r="J283" i="20"/>
  <c r="M82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97" i="18"/>
  <c r="D281" i="20" l="1"/>
  <c r="D280" i="20" l="1"/>
  <c r="K25" i="52" l="1"/>
  <c r="B38" i="52"/>
  <c r="D279" i="20"/>
  <c r="U131" i="18" l="1"/>
  <c r="W102" i="18" s="1"/>
  <c r="W125" i="18"/>
  <c r="D278" i="20"/>
  <c r="W104" i="18" l="1"/>
  <c r="W103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97" i="18"/>
  <c r="AR14" i="18"/>
  <c r="AJ176" i="18"/>
  <c r="S96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6" i="18"/>
  <c r="D272" i="20" l="1"/>
  <c r="D271" i="20" l="1"/>
  <c r="AL128" i="18"/>
  <c r="AL127" i="18" s="1"/>
  <c r="AL126" i="18" l="1"/>
  <c r="AM127" i="18"/>
  <c r="AM128" i="18"/>
  <c r="D270" i="20"/>
  <c r="N48" i="18"/>
  <c r="AM126" i="18" l="1"/>
  <c r="AL125" i="18"/>
  <c r="H270" i="20"/>
  <c r="H271" i="20"/>
  <c r="H272" i="20"/>
  <c r="D269" i="20"/>
  <c r="H269" i="20"/>
  <c r="AM125" i="18" l="1"/>
  <c r="AL124" i="18"/>
  <c r="S57" i="18"/>
  <c r="AM124" i="18" l="1"/>
  <c r="AL123" i="18"/>
  <c r="D57" i="54"/>
  <c r="AM123" i="18" l="1"/>
  <c r="AL122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21" i="18" l="1"/>
  <c r="AM122" i="18"/>
  <c r="H33" i="54"/>
  <c r="G2" i="54"/>
  <c r="G33" i="54" s="1"/>
  <c r="D2" i="54"/>
  <c r="R22" i="52"/>
  <c r="K32" i="52"/>
  <c r="K23" i="52"/>
  <c r="K22" i="52"/>
  <c r="AM121" i="18" l="1"/>
  <c r="AL120" i="18"/>
  <c r="H38" i="54"/>
  <c r="I2" i="54"/>
  <c r="I33" i="54" s="1"/>
  <c r="I38" i="54" s="1"/>
  <c r="D32" i="54"/>
  <c r="N109" i="18"/>
  <c r="N110" i="18"/>
  <c r="N111" i="18"/>
  <c r="N112" i="18"/>
  <c r="N113" i="18"/>
  <c r="N114" i="18"/>
  <c r="N115" i="18"/>
  <c r="N116" i="18"/>
  <c r="N108" i="18"/>
  <c r="AL119" i="18" l="1"/>
  <c r="AM120" i="18"/>
  <c r="C299" i="20"/>
  <c r="N4" i="52"/>
  <c r="N3" i="52"/>
  <c r="N2" i="52"/>
  <c r="AL118" i="18" l="1"/>
  <c r="AM119" i="18"/>
  <c r="N10" i="52"/>
  <c r="M12" i="52" s="1"/>
  <c r="AM118" i="18" l="1"/>
  <c r="AL117" i="18"/>
  <c r="D266" i="20"/>
  <c r="H266" i="20"/>
  <c r="G30" i="51"/>
  <c r="H30" i="51"/>
  <c r="D30" i="51"/>
  <c r="I30" i="51" s="1"/>
  <c r="AL116" i="18" l="1"/>
  <c r="AM117" i="18"/>
  <c r="D265" i="20"/>
  <c r="H265" i="20"/>
  <c r="G29" i="51"/>
  <c r="H29" i="51"/>
  <c r="D29" i="51"/>
  <c r="I29" i="51" s="1"/>
  <c r="AL115" i="18" l="1"/>
  <c r="AM116" i="18"/>
  <c r="W124" i="18"/>
  <c r="N35" i="18"/>
  <c r="G28" i="51"/>
  <c r="H28" i="51"/>
  <c r="D28" i="51"/>
  <c r="I28" i="51" s="1"/>
  <c r="D264" i="20"/>
  <c r="H264" i="20"/>
  <c r="AL114" i="18" l="1"/>
  <c r="AM115" i="18"/>
  <c r="G27" i="51"/>
  <c r="H27" i="51"/>
  <c r="D27" i="51"/>
  <c r="I27" i="51" s="1"/>
  <c r="G26" i="51"/>
  <c r="H26" i="51"/>
  <c r="D26" i="51"/>
  <c r="I26" i="51" s="1"/>
  <c r="AL113" i="18" l="1"/>
  <c r="AM114" i="18"/>
  <c r="W123" i="18"/>
  <c r="AM113" i="18" l="1"/>
  <c r="AL112" i="18"/>
  <c r="AM112" i="18" l="1"/>
  <c r="AL111" i="18"/>
  <c r="L33" i="18"/>
  <c r="AL110" i="18" l="1"/>
  <c r="AM111" i="18"/>
  <c r="W117" i="18"/>
  <c r="W118" i="18"/>
  <c r="W119" i="18"/>
  <c r="W120" i="18"/>
  <c r="W121" i="18"/>
  <c r="W122" i="18"/>
  <c r="W130" i="18"/>
  <c r="W116" i="18"/>
  <c r="AL109" i="18" l="1"/>
  <c r="AM110" i="18"/>
  <c r="N57" i="18"/>
  <c r="AM109" i="18" l="1"/>
  <c r="AL108" i="18"/>
  <c r="R139" i="18"/>
  <c r="T147" i="18" l="1"/>
  <c r="V147" i="18" s="1"/>
  <c r="AM108" i="18"/>
  <c r="AL107" i="18"/>
  <c r="T100" i="18"/>
  <c r="S40" i="18"/>
  <c r="S41" i="18" s="1"/>
  <c r="S42" i="18" s="1"/>
  <c r="R121" i="18"/>
  <c r="R120" i="18"/>
  <c r="R119" i="18"/>
  <c r="D57" i="51"/>
  <c r="AM107" i="18" l="1"/>
  <c r="AL106" i="18"/>
  <c r="S43" i="18"/>
  <c r="S44" i="18" s="1"/>
  <c r="S45" i="18" s="1"/>
  <c r="S46" i="18" s="1"/>
  <c r="AL105" i="18" l="1"/>
  <c r="AM106" i="18"/>
  <c r="P28" i="18"/>
  <c r="N28" i="18" s="1"/>
  <c r="R118" i="18" s="1"/>
  <c r="AM105" i="18" l="1"/>
  <c r="AL104" i="18"/>
  <c r="Q48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L103" i="18" l="1"/>
  <c r="AM104" i="18"/>
  <c r="G33" i="51"/>
  <c r="C32" i="51"/>
  <c r="H33" i="51"/>
  <c r="D2" i="51"/>
  <c r="D32" i="51" s="1"/>
  <c r="R10" i="49"/>
  <c r="S10" i="49"/>
  <c r="R9" i="49"/>
  <c r="AL102" i="18" l="1"/>
  <c r="AM103" i="18"/>
  <c r="H38" i="51"/>
  <c r="I2" i="51"/>
  <c r="I33" i="51" s="1"/>
  <c r="I38" i="51" s="1"/>
  <c r="S20" i="18"/>
  <c r="S21" i="18" s="1"/>
  <c r="AM102" i="18" l="1"/>
  <c r="AL101" i="18"/>
  <c r="N45" i="18"/>
  <c r="AL100" i="18" l="1"/>
  <c r="AM100" i="18" s="1"/>
  <c r="AM101" i="18"/>
  <c r="D108" i="50"/>
  <c r="P24" i="18" l="1"/>
  <c r="N44" i="18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96" i="18" l="1"/>
  <c r="AL95" i="18" s="1"/>
  <c r="S22" i="18"/>
  <c r="S23" i="18" s="1"/>
  <c r="S24" i="18" s="1"/>
  <c r="S25" i="18" s="1"/>
  <c r="P22" i="18"/>
  <c r="N22" i="18" s="1"/>
  <c r="N43" i="18"/>
  <c r="AM96" i="18" l="1"/>
  <c r="AL169" i="18"/>
  <c r="AM170" i="18"/>
  <c r="AL94" i="18"/>
  <c r="AM95" i="18"/>
  <c r="AL168" i="18" l="1"/>
  <c r="AM169" i="18"/>
  <c r="AL93" i="18"/>
  <c r="AM94" i="18"/>
  <c r="AL167" i="18" l="1"/>
  <c r="AM168" i="18"/>
  <c r="AL92" i="18"/>
  <c r="AM93" i="18"/>
  <c r="S26" i="18"/>
  <c r="S27" i="18" s="1"/>
  <c r="S28" i="18" s="1"/>
  <c r="S29" i="18" s="1"/>
  <c r="N82" i="18"/>
  <c r="AL166" i="18" l="1"/>
  <c r="AM167" i="18"/>
  <c r="S30" i="18"/>
  <c r="S31" i="18" s="1"/>
  <c r="S32" i="18" s="1"/>
  <c r="S33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6" i="18" l="1"/>
  <c r="AL165" i="18"/>
  <c r="AL90" i="18"/>
  <c r="AM91" i="18"/>
  <c r="D73" i="48"/>
  <c r="N24" i="18"/>
  <c r="AL164" i="18" l="1"/>
  <c r="AM165" i="18"/>
  <c r="AM90" i="18"/>
  <c r="AL89" i="18"/>
  <c r="AL163" i="18" l="1"/>
  <c r="AM164" i="18"/>
  <c r="AL88" i="18"/>
  <c r="AM89" i="18"/>
  <c r="P62" i="18"/>
  <c r="AL162" i="18" l="1"/>
  <c r="AM163" i="18"/>
  <c r="AL87" i="18"/>
  <c r="AM88" i="18"/>
  <c r="AL161" i="18" l="1"/>
  <c r="AM162" i="18"/>
  <c r="AM87" i="18"/>
  <c r="AL86" i="18"/>
  <c r="N23" i="33"/>
  <c r="D23" i="33" s="1"/>
  <c r="AL160" i="18" l="1"/>
  <c r="AM161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9" i="18" l="1"/>
  <c r="AM160" i="18"/>
  <c r="AL84" i="18"/>
  <c r="AM85" i="18"/>
  <c r="P21" i="18"/>
  <c r="N21" i="18" s="1"/>
  <c r="R117" i="18" l="1"/>
  <c r="Q35" i="18"/>
  <c r="AJ180" i="18"/>
  <c r="AJ181" i="18" s="1"/>
  <c r="AL158" i="18"/>
  <c r="AM159" i="18"/>
  <c r="AM84" i="18"/>
  <c r="AL83" i="18"/>
  <c r="AL157" i="18" l="1"/>
  <c r="AM158" i="18"/>
  <c r="AM83" i="18"/>
  <c r="AL82" i="18"/>
  <c r="S58" i="18"/>
  <c r="S59" i="18" s="1"/>
  <c r="AM157" i="18" l="1"/>
  <c r="AL156" i="18"/>
  <c r="AL81" i="18"/>
  <c r="AM82" i="18"/>
  <c r="AL155" i="18" l="1"/>
  <c r="AM156" i="18"/>
  <c r="AL80" i="18"/>
  <c r="AM80" i="18" s="1"/>
  <c r="AM81" i="18"/>
  <c r="AM155" i="18" l="1"/>
  <c r="AL154" i="18"/>
  <c r="AM154" i="18" l="1"/>
  <c r="AL153" i="18"/>
  <c r="B8" i="36"/>
  <c r="AL152" i="18" l="1"/>
  <c r="AM153" i="18"/>
  <c r="B10" i="36"/>
  <c r="AL151" i="18" l="1"/>
  <c r="AM152" i="18"/>
  <c r="S60" i="18"/>
  <c r="S61" i="18" l="1"/>
  <c r="S62" i="18" s="1"/>
  <c r="S63" i="18" s="1"/>
  <c r="S64" i="18" s="1"/>
  <c r="S65" i="18" s="1"/>
  <c r="S66" i="18" s="1"/>
  <c r="AL150" i="18"/>
  <c r="AM151" i="18"/>
  <c r="N25" i="33"/>
  <c r="N24" i="33"/>
  <c r="N21" i="33"/>
  <c r="N20" i="33"/>
  <c r="N19" i="33"/>
  <c r="N18" i="33"/>
  <c r="L18" i="33" s="1"/>
  <c r="N17" i="33"/>
  <c r="N9" i="33"/>
  <c r="N3" i="33"/>
  <c r="N4" i="33"/>
  <c r="AM150" i="18" l="1"/>
  <c r="AL149" i="18"/>
  <c r="S67" i="18"/>
  <c r="S6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9" i="18" l="1"/>
  <c r="AL148" i="18"/>
  <c r="AC15" i="33"/>
  <c r="AM148" i="18" l="1"/>
  <c r="AL147" i="18"/>
  <c r="N16" i="33"/>
  <c r="S69" i="18" l="1"/>
  <c r="S70" i="18" s="1"/>
  <c r="AM147" i="18"/>
  <c r="AL146" i="18"/>
  <c r="AM146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76" i="18" l="1"/>
  <c r="AN176" i="18" s="1"/>
  <c r="AJ17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71" i="18" l="1"/>
  <c r="S72" i="18" s="1"/>
  <c r="S73" i="18" s="1"/>
  <c r="AJ182" i="18"/>
  <c r="AJ18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AL79" i="18"/>
  <c r="G25" i="46"/>
  <c r="H25" i="46"/>
  <c r="D25" i="46"/>
  <c r="I25" i="46" s="1"/>
  <c r="J282" i="20" l="1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S74" i="18" l="1"/>
  <c r="S75" i="18" s="1"/>
  <c r="G280" i="20"/>
  <c r="I281" i="20"/>
  <c r="J281" i="20"/>
  <c r="K281" i="20"/>
  <c r="AL77" i="18"/>
  <c r="AM78" i="18"/>
  <c r="N62" i="18"/>
  <c r="S76" i="18" l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G279" i="20"/>
  <c r="I280" i="20"/>
  <c r="J280" i="20"/>
  <c r="K280" i="20"/>
  <c r="AL76" i="18"/>
  <c r="AM77" i="18"/>
  <c r="G278" i="20" l="1"/>
  <c r="J279" i="20"/>
  <c r="K279" i="20"/>
  <c r="I279" i="20"/>
  <c r="AL75" i="18"/>
  <c r="AM76" i="18"/>
  <c r="N42" i="18"/>
  <c r="R116" i="18" l="1"/>
  <c r="R125" i="18" s="1"/>
  <c r="T134" i="18" s="1"/>
  <c r="Q92" i="18"/>
  <c r="G277" i="20"/>
  <c r="K278" i="20"/>
  <c r="J278" i="20"/>
  <c r="I278" i="20"/>
  <c r="AJ135" i="18"/>
  <c r="AJ136" i="18" s="1"/>
  <c r="AL74" i="18"/>
  <c r="AM75" i="18"/>
  <c r="G276" i="20" l="1"/>
  <c r="I277" i="20"/>
  <c r="K277" i="20"/>
  <c r="J277" i="20"/>
  <c r="V137" i="18"/>
  <c r="S104" i="18"/>
  <c r="U147" i="18"/>
  <c r="AL73" i="18"/>
  <c r="AM74" i="18"/>
  <c r="N88" i="18"/>
  <c r="V84" i="18" l="1"/>
  <c r="V87" i="18"/>
  <c r="V89" i="18"/>
  <c r="V85" i="18"/>
  <c r="V88" i="18"/>
  <c r="V90" i="18"/>
  <c r="V86" i="18"/>
  <c r="V91" i="18"/>
  <c r="V81" i="18"/>
  <c r="W81" i="18" s="1"/>
  <c r="V83" i="18"/>
  <c r="V82" i="18"/>
  <c r="V33" i="18"/>
  <c r="W33" i="18" s="1"/>
  <c r="V46" i="18"/>
  <c r="V79" i="18"/>
  <c r="W79" i="18" s="1"/>
  <c r="V80" i="18"/>
  <c r="V76" i="18"/>
  <c r="W76" i="18" s="1"/>
  <c r="V78" i="18"/>
  <c r="V77" i="18"/>
  <c r="V45" i="18"/>
  <c r="W45" i="18" s="1"/>
  <c r="V32" i="18"/>
  <c r="V74" i="18"/>
  <c r="W74" i="18" s="1"/>
  <c r="V75" i="18"/>
  <c r="G275" i="20"/>
  <c r="I276" i="20"/>
  <c r="K276" i="20"/>
  <c r="J276" i="20"/>
  <c r="V72" i="18"/>
  <c r="V73" i="18"/>
  <c r="V70" i="18"/>
  <c r="V71" i="18"/>
  <c r="V69" i="18"/>
  <c r="V31" i="18"/>
  <c r="V30" i="18"/>
  <c r="W30" i="18" s="1"/>
  <c r="V44" i="18"/>
  <c r="V29" i="18"/>
  <c r="X29" i="18" s="1"/>
  <c r="V43" i="18"/>
  <c r="V47" i="18"/>
  <c r="V42" i="18"/>
  <c r="V68" i="18"/>
  <c r="V41" i="18"/>
  <c r="V67" i="18"/>
  <c r="V28" i="18"/>
  <c r="V66" i="18"/>
  <c r="V27" i="18"/>
  <c r="V25" i="18"/>
  <c r="V26" i="18"/>
  <c r="W26" i="18" s="1"/>
  <c r="V65" i="18"/>
  <c r="V64" i="18"/>
  <c r="V63" i="18"/>
  <c r="V24" i="18"/>
  <c r="V62" i="18"/>
  <c r="V61" i="18"/>
  <c r="V59" i="18"/>
  <c r="V60" i="18"/>
  <c r="V21" i="18"/>
  <c r="V23" i="18"/>
  <c r="V56" i="18"/>
  <c r="V20" i="18"/>
  <c r="V22" i="18"/>
  <c r="V57" i="18"/>
  <c r="V58" i="18"/>
  <c r="AL72" i="18"/>
  <c r="AM73" i="18"/>
  <c r="W91" i="18" l="1"/>
  <c r="X91" i="18"/>
  <c r="W85" i="18"/>
  <c r="X85" i="18"/>
  <c r="X86" i="18"/>
  <c r="W86" i="18"/>
  <c r="W89" i="18"/>
  <c r="X89" i="18"/>
  <c r="X90" i="18"/>
  <c r="W90" i="18"/>
  <c r="W87" i="18"/>
  <c r="X87" i="18"/>
  <c r="W88" i="18"/>
  <c r="X88" i="18"/>
  <c r="W84" i="18"/>
  <c r="X84" i="18"/>
  <c r="X81" i="18"/>
  <c r="W82" i="18"/>
  <c r="X82" i="18"/>
  <c r="W83" i="18"/>
  <c r="X83" i="18"/>
  <c r="X33" i="18"/>
  <c r="W46" i="18"/>
  <c r="X46" i="18"/>
  <c r="X79" i="18"/>
  <c r="W80" i="18"/>
  <c r="X80" i="18"/>
  <c r="X76" i="18"/>
  <c r="W77" i="18"/>
  <c r="X77" i="18"/>
  <c r="W78" i="18"/>
  <c r="X78" i="18"/>
  <c r="X45" i="18"/>
  <c r="X32" i="18"/>
  <c r="W32" i="18"/>
  <c r="X74" i="18"/>
  <c r="W75" i="18"/>
  <c r="X75" i="18"/>
  <c r="G274" i="20"/>
  <c r="K275" i="20"/>
  <c r="J275" i="20"/>
  <c r="I275" i="20"/>
  <c r="W73" i="18"/>
  <c r="X73" i="18"/>
  <c r="W72" i="18"/>
  <c r="X72" i="18"/>
  <c r="X71" i="18"/>
  <c r="W71" i="18"/>
  <c r="W70" i="18"/>
  <c r="X70" i="18"/>
  <c r="W69" i="18"/>
  <c r="X69" i="18"/>
  <c r="W31" i="18"/>
  <c r="X31" i="18"/>
  <c r="X30" i="18"/>
  <c r="W44" i="18"/>
  <c r="X44" i="18"/>
  <c r="W29" i="18"/>
  <c r="W43" i="18"/>
  <c r="X43" i="18"/>
  <c r="W42" i="18"/>
  <c r="X42" i="18"/>
  <c r="W47" i="18"/>
  <c r="X47" i="18"/>
  <c r="S103" i="18"/>
  <c r="N65" i="18"/>
  <c r="S102" i="18"/>
  <c r="U102" i="18" s="1"/>
  <c r="W68" i="18"/>
  <c r="X68" i="18"/>
  <c r="X41" i="18"/>
  <c r="W41" i="18"/>
  <c r="W22" i="18"/>
  <c r="X22" i="18"/>
  <c r="W21" i="18"/>
  <c r="X21" i="18"/>
  <c r="W61" i="18"/>
  <c r="X61" i="18"/>
  <c r="W63" i="18"/>
  <c r="X63" i="18"/>
  <c r="W66" i="18"/>
  <c r="X66" i="18"/>
  <c r="W58" i="18"/>
  <c r="X58" i="18"/>
  <c r="W64" i="18"/>
  <c r="X64" i="18"/>
  <c r="X26" i="18"/>
  <c r="W28" i="18"/>
  <c r="X28" i="18"/>
  <c r="W20" i="18"/>
  <c r="X20" i="18"/>
  <c r="W60" i="18"/>
  <c r="X60" i="18"/>
  <c r="W25" i="18"/>
  <c r="X25" i="18"/>
  <c r="X67" i="18"/>
  <c r="W67" i="18"/>
  <c r="W57" i="18"/>
  <c r="X57" i="18"/>
  <c r="W56" i="18"/>
  <c r="X56" i="18"/>
  <c r="W62" i="18"/>
  <c r="X62" i="18"/>
  <c r="W23" i="18"/>
  <c r="X23" i="18"/>
  <c r="W59" i="18"/>
  <c r="X59" i="18"/>
  <c r="X24" i="18"/>
  <c r="W24" i="18"/>
  <c r="W65" i="18"/>
  <c r="X65" i="18"/>
  <c r="W27" i="18"/>
  <c r="X27" i="18"/>
  <c r="AL71" i="18"/>
  <c r="AM72" i="18"/>
  <c r="G273" i="20" l="1"/>
  <c r="J274" i="20"/>
  <c r="I274" i="20"/>
  <c r="K274" i="20"/>
  <c r="N31" i="18"/>
  <c r="L21" i="18" s="1"/>
  <c r="U103" i="18"/>
  <c r="V103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9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9" i="18"/>
  <c r="AJ134" i="18" s="1"/>
  <c r="AJ138" i="18" s="1"/>
  <c r="E172" i="13"/>
  <c r="G173" i="13"/>
  <c r="D62" i="38"/>
  <c r="G220" i="20" l="1"/>
  <c r="I221" i="20"/>
  <c r="K221" i="20"/>
  <c r="J221" i="20"/>
  <c r="F244" i="15"/>
  <c r="D243" i="15"/>
  <c r="AJ137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8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9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8" i="18" s="1"/>
  <c r="F24" i="18" s="1"/>
  <c r="L69" i="18" l="1"/>
  <c r="E33" i="13"/>
  <c r="G34" i="13"/>
  <c r="I97" i="20"/>
  <c r="K97" i="20"/>
  <c r="J97" i="20"/>
  <c r="F108" i="15"/>
  <c r="C20" i="18"/>
  <c r="G20" i="14"/>
  <c r="G21" i="14"/>
  <c r="L7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02" i="18" l="1"/>
  <c r="U104" i="18"/>
  <c r="V104" i="18" s="1"/>
</calcChain>
</file>

<file path=xl/sharedStrings.xml><?xml version="1.0" encoding="utf-8"?>
<sst xmlns="http://schemas.openxmlformats.org/spreadsheetml/2006/main" count="10184" uniqueCount="4684">
  <si>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</si>
  <si>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</si>
  <si>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</si>
  <si>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</si>
  <si>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</si>
  <si>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</si>
  <si>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</si>
  <si>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</si>
  <si>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</si>
  <si>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</si>
  <si>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</si>
  <si>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</si>
  <si>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</si>
  <si>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</si>
  <si>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</si>
  <si>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</si>
  <si>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</si>
  <si>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</si>
  <si>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</si>
  <si>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</si>
  <si>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</si>
  <si>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</si>
  <si>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</si>
  <si>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</si>
  <si>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</si>
  <si>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</si>
  <si>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</si>
  <si>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</si>
  <si>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</si>
  <si>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</si>
  <si>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</si>
  <si>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</si>
  <si>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</si>
  <si>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</si>
  <si>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</si>
  <si>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</si>
  <si>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</si>
  <si>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</si>
  <si>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</si>
  <si>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</si>
  <si>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</si>
  <si>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</si>
  <si>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</si>
  <si>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</si>
  <si>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</si>
  <si>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</si>
  <si>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</si>
  <si>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</si>
  <si>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</si>
  <si>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</si>
  <si>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</si>
  <si>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</si>
  <si>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</si>
  <si>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</si>
  <si>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</si>
  <si>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</si>
  <si>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</si>
  <si>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</si>
  <si>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</si>
  <si>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</si>
  <si>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</si>
  <si>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</si>
  <si>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</si>
  <si>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</si>
  <si>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</si>
  <si>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</si>
  <si>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</si>
  <si>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</si>
  <si>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</si>
  <si>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</si>
  <si>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</si>
  <si>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</si>
  <si>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</si>
  <si>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</si>
  <si>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</si>
  <si>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</si>
  <si>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</si>
  <si>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</si>
  <si>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</si>
  <si>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</si>
  <si>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</si>
  <si>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</si>
  <si>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</si>
  <si>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</si>
  <si>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</si>
  <si>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</si>
  <si>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</si>
  <si>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</si>
  <si>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</si>
  <si>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</si>
  <si>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</si>
  <si>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</si>
  <si>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</si>
  <si>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</si>
  <si>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</si>
  <si>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</si>
  <si>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</si>
  <si>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</si>
  <si>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</si>
  <si>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</si>
  <si>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</si>
  <si>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</si>
  <si>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</si>
  <si>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</si>
  <si>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</si>
  <si>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</si>
  <si>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</si>
  <si>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</si>
  <si>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</si>
  <si>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</si>
  <si>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</si>
  <si>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</si>
  <si>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</si>
  <si>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</si>
  <si>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</si>
  <si>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</si>
  <si>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</si>
  <si>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</si>
  <si>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</si>
  <si>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</si>
  <si>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</si>
  <si>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</si>
  <si>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</si>
  <si>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</si>
  <si>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</si>
  <si>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</si>
  <si>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</si>
  <si>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</si>
  <si>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</si>
  <si>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</si>
  <si>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</si>
  <si>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</si>
  <si>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</si>
  <si>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</si>
  <si>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</si>
  <si>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</si>
  <si>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</si>
  <si>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</si>
  <si>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</si>
  <si>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</si>
  <si>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</si>
  <si>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</si>
  <si>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</si>
  <si>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</si>
  <si>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</si>
  <si>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</si>
  <si>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</si>
  <si>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</si>
  <si>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</si>
  <si>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</si>
  <si>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</si>
  <si>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</si>
  <si>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</si>
  <si>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</si>
  <si>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</si>
  <si>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</si>
  <si>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</si>
  <si>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</si>
  <si>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</si>
  <si>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</si>
  <si>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</si>
  <si>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</si>
  <si>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</si>
  <si>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</si>
  <si>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</si>
  <si>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</si>
  <si>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</si>
  <si>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</si>
  <si>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</si>
  <si>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</si>
  <si>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</si>
  <si>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</si>
  <si>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</si>
  <si>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</si>
  <si>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</si>
  <si>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</si>
  <si>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</si>
  <si>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</si>
  <si>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</si>
  <si>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</si>
  <si>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</si>
  <si>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</si>
  <si>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</si>
  <si>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</si>
  <si>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</si>
  <si>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</si>
  <si>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</si>
  <si>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</si>
  <si>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</si>
  <si>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</si>
  <si>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</si>
  <si>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</si>
  <si>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</si>
  <si>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</si>
  <si>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</si>
  <si>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</si>
  <si>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</si>
  <si>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</si>
  <si>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</si>
  <si>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</si>
  <si>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</si>
  <si>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</si>
  <si>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</si>
  <si>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</si>
  <si>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</si>
  <si>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</si>
  <si>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</si>
  <si>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</si>
  <si>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</si>
  <si>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</si>
  <si>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</si>
  <si>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</si>
  <si>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</si>
  <si>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</si>
  <si>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</si>
  <si>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</si>
  <si>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</si>
  <si>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</si>
  <si>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</si>
  <si>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</si>
  <si>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</si>
  <si>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</si>
  <si>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</si>
  <si>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</si>
  <si>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</si>
  <si>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</si>
  <si>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</si>
  <si>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</si>
  <si>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</si>
  <si>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</si>
  <si>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</si>
  <si>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</si>
  <si>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</si>
  <si>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</si>
  <si>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</si>
  <si>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</si>
  <si>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</si>
  <si>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</si>
  <si>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</si>
  <si>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</si>
  <si>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</si>
  <si>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</si>
  <si>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</si>
  <si>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</si>
  <si>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</si>
  <si>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</si>
  <si>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</si>
  <si>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</si>
  <si>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</si>
  <si>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</si>
  <si>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</si>
  <si>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</si>
  <si>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</si>
  <si>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</si>
  <si>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</si>
  <si>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</si>
  <si>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</si>
  <si>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</si>
  <si>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</si>
  <si>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</si>
  <si>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</si>
  <si>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</si>
  <si>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</si>
  <si>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</si>
  <si>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</si>
  <si>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</si>
  <si>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</si>
  <si>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</si>
  <si>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</si>
  <si>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</si>
  <si>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</si>
  <si>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</si>
  <si>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</si>
  <si>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</si>
  <si>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</si>
  <si>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</si>
  <si>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</si>
  <si>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</si>
  <si>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</si>
  <si>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</si>
  <si>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</si>
  <si>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</si>
  <si>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</si>
  <si>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</si>
  <si>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</si>
  <si>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</si>
  <si>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</si>
  <si>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</si>
  <si>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</si>
  <si>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</si>
  <si>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</si>
  <si>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</si>
  <si>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</si>
  <si>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</si>
  <si>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</si>
  <si>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</si>
  <si>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</si>
  <si>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</si>
  <si>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</si>
  <si>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</si>
  <si>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</si>
  <si>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</si>
  <si>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</si>
  <si>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</si>
  <si>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</si>
  <si>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</si>
  <si>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</si>
  <si>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</si>
  <si>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</si>
  <si>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</si>
  <si>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</si>
  <si>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</si>
  <si>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</si>
  <si>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</si>
  <si>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</si>
  <si>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</si>
  <si>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</si>
  <si>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</si>
  <si>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</si>
  <si>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</si>
  <si>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</si>
  <si>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</si>
  <si>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</si>
  <si>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</si>
  <si>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</si>
  <si>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</si>
  <si>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</si>
  <si>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</si>
  <si>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</si>
  <si>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</si>
  <si>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</si>
  <si>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</si>
  <si>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</si>
  <si>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</si>
  <si>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</si>
  <si>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</si>
  <si>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</si>
  <si>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</si>
  <si>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</si>
  <si>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</si>
  <si>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</si>
  <si>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</si>
  <si>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</si>
  <si>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</si>
  <si>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</si>
  <si>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</si>
  <si>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</si>
  <si>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</si>
  <si>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</si>
  <si>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</si>
  <si>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</si>
  <si>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</si>
  <si>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</si>
  <si>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</si>
  <si>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</si>
  <si>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</si>
  <si>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</si>
  <si>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</si>
  <si>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</si>
  <si>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</si>
  <si>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</si>
  <si>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</si>
  <si>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</si>
  <si>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</si>
  <si>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</si>
  <si>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</si>
  <si>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</si>
  <si>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</si>
  <si>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</si>
  <si>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</si>
  <si>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</si>
  <si>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</si>
  <si>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</si>
  <si>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</si>
  <si>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</si>
  <si>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</si>
  <si>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</si>
  <si>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</si>
  <si>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</si>
  <si>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</si>
  <si>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</si>
  <si>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</si>
  <si>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</si>
  <si>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</si>
  <si>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</si>
  <si>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</si>
  <si>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</si>
  <si>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</si>
  <si>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</si>
  <si>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</si>
  <si>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</si>
  <si>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</si>
  <si>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</si>
  <si>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</si>
  <si>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</si>
  <si>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</si>
  <si>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</si>
  <si>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</si>
  <si>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</si>
  <si>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</si>
  <si>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</si>
  <si>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</si>
  <si>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</si>
  <si>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</si>
  <si>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</si>
  <si>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</si>
  <si>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</si>
  <si>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</si>
  <si>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</si>
  <si>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</si>
  <si>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</si>
  <si>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</si>
  <si>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</si>
  <si>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</si>
  <si>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</si>
  <si>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</si>
  <si>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</si>
  <si>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</si>
  <si>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</si>
  <si>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</si>
  <si>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</si>
  <si>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</si>
  <si>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</si>
  <si>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</si>
  <si>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</si>
  <si>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</si>
  <si>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</si>
  <si>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</si>
  <si>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</si>
  <si>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</si>
  <si>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</si>
  <si>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</si>
  <si>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</si>
  <si>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</si>
  <si>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</si>
  <si>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</si>
  <si>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</si>
  <si>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</si>
  <si>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</si>
  <si>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</si>
  <si>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</si>
  <si>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</si>
  <si>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</si>
  <si>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</si>
  <si>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</si>
  <si>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</si>
  <si>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</si>
  <si>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</si>
  <si>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</si>
  <si>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</si>
  <si>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</si>
  <si>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</si>
  <si>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</si>
  <si>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</si>
  <si>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</si>
  <si>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</si>
  <si>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</si>
  <si>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</si>
  <si>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</si>
  <si>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</si>
  <si>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</si>
  <si>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</si>
  <si>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</si>
  <si>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</si>
  <si>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</si>
  <si>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</si>
  <si>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</si>
  <si>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</si>
  <si>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</si>
  <si>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</si>
  <si>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</si>
  <si>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</si>
  <si>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</si>
  <si>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</si>
  <si>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</si>
  <si>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</si>
  <si>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</si>
  <si>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</si>
  <si>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</si>
  <si>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</si>
  <si>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</si>
  <si>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</si>
  <si>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</si>
  <si>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</si>
  <si>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</si>
  <si>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</si>
  <si>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</si>
  <si>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</si>
  <si>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</si>
  <si>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</si>
  <si>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</si>
  <si>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</si>
  <si>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</si>
  <si>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</si>
  <si>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</si>
  <si>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</si>
  <si>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</si>
  <si>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</si>
  <si>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</si>
  <si>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</si>
  <si>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</si>
  <si>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</si>
  <si>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</si>
  <si>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</si>
  <si>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</si>
  <si>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</si>
  <si>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</si>
  <si>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</si>
  <si>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</si>
  <si>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</si>
  <si>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</si>
  <si>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</si>
  <si>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</si>
  <si>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</si>
  <si>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</si>
  <si>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</si>
  <si>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</si>
  <si>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</si>
  <si>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</si>
  <si>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</si>
  <si>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</si>
  <si>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</si>
  <si>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</si>
  <si>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</si>
  <si>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</si>
  <si>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</si>
  <si>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</si>
  <si>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</si>
  <si>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</si>
  <si>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</si>
  <si>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</si>
  <si>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</si>
  <si>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</si>
  <si>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</si>
  <si>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</si>
  <si>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</si>
  <si>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</si>
  <si>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</si>
  <si>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</si>
  <si>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</si>
  <si>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</si>
  <si>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</si>
  <si>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</si>
  <si>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</si>
  <si>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</si>
  <si>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</si>
  <si>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</si>
  <si>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</si>
  <si>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</si>
  <si>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</si>
  <si>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</si>
  <si>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</si>
  <si>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</si>
  <si>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</si>
  <si>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</si>
  <si>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</si>
  <si>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</si>
  <si>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</si>
  <si>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</si>
  <si>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</si>
  <si>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</si>
  <si>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</si>
  <si>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</si>
  <si>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</si>
  <si>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</si>
  <si>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</si>
  <si>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</si>
  <si>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</si>
  <si>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</si>
  <si>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</si>
  <si>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</si>
  <si>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</si>
  <si>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</si>
  <si>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</si>
  <si>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</si>
  <si>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</si>
  <si>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</si>
  <si>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</si>
  <si>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</si>
  <si>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</si>
  <si>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</si>
  <si>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</si>
  <si>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</si>
  <si>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</si>
  <si>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</si>
  <si>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</si>
  <si>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</si>
  <si>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</si>
  <si>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</si>
  <si>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</si>
  <si>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</si>
  <si>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</si>
  <si>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</si>
  <si>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</si>
  <si>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</si>
  <si>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</si>
  <si>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</si>
  <si>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</si>
  <si>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</si>
  <si>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</si>
  <si>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</si>
  <si>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</si>
  <si>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</si>
  <si>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</si>
  <si>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</si>
  <si>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</si>
  <si>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</si>
  <si>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</si>
  <si>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</si>
  <si>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</si>
  <si>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</si>
  <si>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</si>
  <si>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</si>
  <si>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</si>
  <si>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</si>
  <si>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</si>
  <si>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</si>
  <si>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</si>
  <si>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</si>
  <si>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</si>
  <si>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</si>
  <si>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</si>
  <si>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</si>
  <si>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</si>
  <si>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</si>
  <si>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</si>
  <si>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</si>
  <si>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</si>
  <si>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</si>
  <si>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</si>
  <si>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</si>
  <si>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</si>
  <si>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</si>
  <si>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</si>
  <si>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</si>
  <si>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</si>
  <si>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</si>
  <si>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</si>
  <si>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</si>
  <si>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</si>
  <si>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</si>
  <si>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</si>
  <si>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</si>
  <si>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</si>
  <si>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</si>
  <si>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</si>
  <si>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</si>
  <si>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</si>
  <si>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</si>
  <si>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</si>
  <si>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</si>
  <si>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</si>
  <si>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</si>
  <si>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</si>
  <si>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</si>
  <si>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</si>
  <si>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</si>
  <si>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</si>
  <si>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</si>
  <si>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</si>
  <si>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</si>
  <si>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</si>
  <si>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</si>
  <si>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</si>
  <si>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</si>
  <si>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</si>
  <si>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</si>
  <si>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</si>
  <si>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</si>
  <si>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</si>
  <si>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</si>
  <si>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</si>
  <si>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</si>
  <si>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</si>
  <si>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</si>
  <si>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</si>
  <si>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</si>
  <si>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</si>
  <si>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</si>
  <si>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</si>
  <si>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</si>
  <si>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</si>
  <si>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</si>
  <si>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</si>
  <si>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</si>
  <si>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</si>
  <si>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</si>
  <si>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</si>
  <si>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</si>
  <si>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</si>
  <si>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</si>
  <si>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</si>
  <si>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</si>
  <si>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</si>
  <si>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</si>
  <si>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</si>
  <si>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</si>
  <si>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</si>
  <si>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</si>
  <si>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</si>
  <si>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</si>
  <si>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</si>
  <si>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</si>
  <si>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</si>
  <si>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</si>
  <si>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</si>
  <si>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</si>
  <si>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</si>
  <si>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</si>
  <si>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</si>
  <si>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</si>
  <si>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</si>
  <si>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</si>
  <si>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</si>
  <si>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</si>
  <si>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</si>
  <si>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</si>
  <si>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</si>
  <si>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</si>
  <si>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</si>
  <si>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</si>
  <si>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</si>
  <si>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</si>
  <si>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</si>
  <si>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</si>
  <si>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</si>
  <si>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</si>
  <si>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</si>
  <si>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</si>
  <si>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</si>
  <si>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</si>
  <si>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</si>
  <si>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</si>
  <si>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</si>
  <si>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</si>
  <si>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</si>
  <si>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</si>
  <si>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</si>
  <si>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</si>
  <si>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</si>
  <si>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</si>
  <si>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</si>
  <si>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</si>
  <si>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</si>
  <si>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</si>
  <si>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</si>
  <si>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</si>
  <si>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</si>
  <si>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</si>
  <si>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</si>
  <si>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</si>
  <si>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</si>
  <si>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</si>
  <si>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</si>
  <si>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</si>
  <si>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</si>
  <si>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</si>
  <si>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</si>
  <si>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</si>
  <si>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</si>
  <si>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</si>
  <si>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</si>
  <si>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</si>
  <si>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</si>
  <si>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</si>
  <si>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</si>
  <si>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</si>
  <si>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</si>
  <si>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</si>
  <si>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</si>
  <si>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</si>
  <si>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</si>
  <si>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</si>
  <si>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</si>
  <si>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</si>
  <si>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</si>
  <si>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</si>
  <si>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</si>
  <si>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</si>
  <si>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</si>
  <si>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</si>
  <si>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</si>
  <si>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</si>
  <si>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</si>
  <si>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</si>
  <si>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</si>
  <si>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</si>
  <si>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</si>
  <si>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</si>
  <si>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</si>
  <si>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</si>
  <si>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</si>
  <si>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</si>
  <si>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</si>
  <si>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</si>
  <si>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</si>
  <si>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</si>
  <si>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</si>
  <si>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</si>
  <si>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</si>
  <si>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</si>
  <si>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</si>
  <si>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</si>
  <si>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</si>
  <si>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</si>
  <si>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</si>
  <si>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</si>
  <si>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</si>
  <si>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</si>
  <si>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</si>
  <si>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</si>
  <si>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</si>
  <si>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</si>
  <si>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</si>
  <si>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</si>
  <si>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</si>
  <si>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</si>
  <si>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</si>
  <si>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</si>
  <si>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</si>
  <si>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</si>
  <si>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</si>
  <si>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</si>
  <si>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</si>
  <si>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</si>
  <si>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</si>
  <si>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</si>
  <si>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</si>
  <si>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</si>
  <si>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</si>
  <si>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</si>
  <si>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</si>
  <si>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</si>
  <si>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</si>
  <si>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</si>
  <si>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</si>
  <si>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</si>
  <si>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</si>
  <si>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</si>
  <si>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</si>
  <si>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</si>
  <si>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</si>
  <si>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</si>
  <si>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</si>
  <si>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</si>
  <si>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</si>
  <si>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</si>
  <si>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</si>
  <si>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</si>
  <si>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</si>
  <si>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</si>
  <si>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</si>
  <si>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</si>
  <si>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</si>
  <si>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</si>
  <si>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</si>
  <si>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</si>
  <si>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</si>
  <si>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</si>
  <si>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</si>
  <si>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</si>
  <si>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</si>
  <si>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</si>
  <si>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</si>
  <si>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</si>
  <si>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</si>
  <si>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</si>
  <si>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</si>
  <si>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</si>
  <si>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</si>
  <si>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</si>
  <si>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</si>
  <si>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</si>
  <si>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</si>
  <si>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</si>
  <si>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</si>
  <si>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</si>
  <si>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</si>
  <si>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</si>
  <si>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</si>
  <si>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</si>
  <si>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</si>
  <si>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</si>
  <si>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</si>
  <si>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</si>
  <si>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</si>
  <si>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</si>
  <si>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</si>
  <si>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</si>
  <si>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</si>
  <si>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</si>
  <si>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</si>
  <si>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</si>
  <si>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</si>
  <si>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</si>
  <si>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</si>
  <si>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</si>
  <si>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</si>
  <si>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</si>
  <si>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</si>
  <si>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</si>
  <si>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</si>
  <si>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</si>
  <si>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</si>
  <si>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</si>
  <si>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</si>
  <si>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</si>
  <si>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</si>
  <si>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</si>
  <si>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</si>
  <si>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</si>
  <si>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</si>
  <si>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</si>
  <si>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</si>
  <si>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</si>
  <si>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</si>
  <si>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</si>
  <si>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</si>
  <si>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</si>
  <si>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</si>
  <si>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</si>
  <si>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</si>
  <si>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</si>
  <si>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</si>
  <si>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</si>
  <si>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</si>
  <si>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</si>
  <si>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</si>
  <si>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</si>
  <si>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</si>
  <si>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</si>
  <si>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</si>
  <si>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</si>
  <si>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</si>
  <si>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</si>
  <si>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</si>
  <si>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</si>
  <si>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</si>
  <si>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</si>
  <si>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</si>
  <si>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</si>
  <si>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</si>
  <si>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</si>
  <si>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</si>
  <si>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</si>
  <si>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</si>
  <si>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</si>
  <si>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</si>
  <si>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</si>
  <si>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</si>
  <si>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</si>
  <si>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</si>
  <si>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</si>
  <si>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</si>
  <si>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</si>
  <si>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</si>
  <si>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</si>
  <si>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</si>
  <si>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</si>
  <si>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</si>
  <si>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</si>
  <si>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</si>
  <si>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</si>
  <si>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</si>
  <si>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</si>
  <si>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</si>
  <si>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</si>
  <si>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</si>
  <si>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</si>
  <si>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</si>
  <si>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</si>
  <si>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</si>
  <si>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</si>
  <si>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</si>
  <si>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</si>
  <si>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</si>
  <si>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</si>
  <si>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</si>
  <si>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</si>
  <si>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</si>
  <si>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</si>
  <si>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</si>
  <si>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</si>
  <si>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</si>
  <si>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</si>
  <si>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</si>
  <si>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</si>
  <si>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</si>
  <si>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</si>
  <si>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</si>
  <si>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</si>
  <si>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</si>
  <si>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</si>
  <si>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</si>
  <si>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</si>
  <si>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</si>
  <si>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</si>
  <si>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</si>
  <si>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</si>
  <si>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</si>
  <si>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</si>
  <si>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</si>
  <si>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</si>
  <si>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</si>
  <si>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</si>
  <si>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</si>
  <si>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</si>
  <si>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</si>
  <si>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</si>
  <si>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</si>
  <si>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</si>
  <si>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</si>
  <si>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</si>
  <si>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</si>
  <si>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</si>
  <si>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</si>
  <si>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</si>
  <si>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</si>
  <si>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</si>
  <si>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</si>
  <si>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</si>
  <si>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</si>
  <si>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</si>
  <si>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</si>
  <si>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</si>
  <si>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</si>
  <si>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</si>
  <si>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</si>
  <si>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</si>
  <si>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</si>
  <si>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</si>
  <si>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</si>
  <si>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</si>
  <si>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</si>
  <si>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</si>
  <si>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</si>
  <si>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</si>
  <si>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</si>
  <si>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</si>
  <si>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</si>
  <si>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</si>
  <si>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</si>
  <si>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</si>
  <si>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</si>
  <si>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</si>
  <si>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</si>
  <si>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</si>
  <si>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</si>
  <si>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</si>
  <si>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</si>
  <si>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</si>
  <si>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</si>
  <si>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</si>
  <si>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</si>
  <si>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</si>
  <si>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</si>
  <si>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</si>
  <si>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</si>
  <si>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</si>
  <si>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</si>
  <si>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</si>
  <si>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</si>
  <si>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</si>
  <si>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</si>
  <si>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</si>
  <si>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</si>
  <si>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</si>
  <si>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</si>
  <si>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</si>
  <si>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</si>
  <si>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</si>
  <si>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</si>
  <si>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</si>
  <si>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</si>
  <si>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</si>
  <si>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</si>
  <si>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</si>
  <si>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</si>
  <si>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</si>
  <si>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</si>
  <si>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</si>
  <si>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</si>
  <si>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</si>
  <si>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</si>
  <si>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</si>
  <si>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</si>
  <si>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</si>
  <si>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</si>
  <si>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</si>
  <si>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</si>
  <si>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</si>
  <si>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</si>
  <si>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</si>
  <si>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</si>
  <si>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</si>
  <si>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</si>
  <si>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</si>
  <si>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</si>
  <si>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</si>
  <si>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</si>
  <si>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</si>
  <si>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</si>
  <si>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</si>
  <si>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</si>
  <si>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</si>
  <si>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</si>
  <si>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</si>
  <si>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</si>
  <si>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</si>
  <si>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</si>
  <si>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</si>
  <si>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</si>
  <si>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</si>
  <si>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</si>
  <si>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</si>
  <si>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</si>
  <si>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</si>
  <si>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</si>
  <si>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</si>
  <si>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</si>
  <si>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</si>
  <si>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</si>
  <si>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</si>
  <si>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</si>
  <si>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</si>
  <si>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</si>
  <si>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</si>
  <si>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</si>
  <si>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</si>
  <si>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</si>
  <si>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</si>
  <si>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</si>
  <si>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</si>
  <si>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</si>
  <si>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</si>
  <si>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</si>
  <si>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</si>
  <si>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</si>
  <si>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</si>
  <si>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</si>
  <si>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</si>
  <si>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</si>
  <si>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</si>
  <si>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</si>
  <si>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</si>
  <si>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</si>
  <si>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</si>
  <si>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</si>
  <si>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</si>
  <si>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</si>
  <si>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</si>
  <si>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</si>
  <si>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</si>
  <si>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</si>
  <si>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</si>
  <si>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</si>
  <si>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</si>
  <si>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</si>
  <si>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</si>
  <si>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</si>
  <si>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</si>
  <si>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</si>
  <si>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</si>
  <si>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</si>
  <si>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</si>
  <si>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</si>
  <si>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</si>
  <si>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</si>
  <si>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</si>
  <si>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</si>
  <si>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</si>
  <si>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</si>
  <si>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</si>
  <si>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</si>
  <si>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</si>
  <si>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</si>
  <si>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</si>
  <si>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</si>
  <si>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</si>
  <si>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</si>
  <si>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</si>
  <si>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</si>
  <si>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</si>
  <si>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</si>
  <si>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</si>
  <si>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</si>
  <si>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</si>
  <si>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</si>
  <si>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</si>
  <si>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</si>
  <si>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</si>
  <si>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</si>
  <si>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</si>
  <si>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</si>
  <si>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</si>
  <si>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</si>
  <si>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</si>
  <si>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</si>
  <si>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</si>
  <si>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</si>
  <si>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</si>
  <si>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</si>
  <si>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</si>
  <si>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</si>
  <si>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</si>
  <si>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</si>
  <si>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</si>
  <si>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</si>
  <si>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</si>
  <si>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</si>
  <si>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</si>
  <si>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</si>
  <si>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</si>
  <si>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</si>
  <si>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</si>
  <si>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</si>
  <si>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</si>
  <si>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</si>
  <si>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</si>
  <si>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</si>
  <si>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</si>
  <si>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</si>
  <si>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</si>
  <si>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</si>
  <si>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</si>
  <si>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</si>
  <si>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</si>
  <si>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</si>
  <si>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</si>
  <si>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</si>
  <si>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</si>
  <si>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</si>
  <si>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</si>
  <si>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</si>
  <si>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</si>
  <si>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</si>
  <si>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</si>
  <si>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</si>
  <si>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</si>
  <si>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</si>
  <si>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</si>
  <si>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</si>
  <si>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</si>
  <si>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</si>
  <si>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</si>
  <si>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</si>
  <si>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</si>
  <si>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</si>
  <si>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</si>
  <si>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</si>
  <si>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</si>
  <si>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</si>
  <si>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</si>
  <si>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</si>
  <si>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</si>
  <si>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</si>
  <si>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</si>
  <si>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</si>
  <si>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</si>
  <si>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</si>
  <si>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</si>
  <si>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</si>
  <si>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</si>
  <si>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</si>
  <si>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</si>
  <si>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</si>
  <si>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</si>
  <si>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</si>
  <si>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</si>
  <si>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</si>
  <si>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</si>
  <si>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</si>
  <si>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</si>
  <si>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</si>
  <si>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</si>
  <si>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</si>
  <si>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</si>
  <si>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</si>
  <si>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</si>
  <si>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</si>
  <si>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</si>
  <si>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</si>
  <si>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</si>
  <si>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</si>
  <si>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</si>
  <si>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</si>
  <si>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</si>
  <si>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</si>
  <si>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</si>
  <si>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</si>
  <si>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</si>
  <si>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</si>
  <si>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</si>
  <si>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</si>
  <si>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</si>
  <si>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</si>
  <si>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</si>
  <si>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</si>
  <si>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</si>
  <si>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</si>
  <si>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</si>
  <si>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</si>
  <si>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</si>
  <si>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</si>
  <si>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</si>
  <si>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</si>
  <si>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</si>
  <si>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</si>
  <si>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</si>
  <si>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</si>
  <si>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</si>
  <si>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</si>
  <si>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</si>
  <si>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</si>
  <si>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</si>
  <si>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</si>
  <si>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</si>
  <si>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</si>
  <si>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</si>
  <si>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</si>
  <si>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</si>
  <si>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</si>
  <si>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</si>
  <si>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</si>
  <si>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</si>
  <si>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</si>
  <si>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</si>
  <si>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</si>
  <si>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</si>
  <si>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</si>
  <si>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</si>
  <si>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</si>
  <si>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</si>
  <si>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</si>
  <si>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</si>
  <si>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</si>
  <si>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</si>
  <si>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</si>
  <si>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</si>
  <si>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</si>
  <si>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</si>
  <si>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</si>
  <si>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</si>
  <si>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</si>
  <si>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</si>
  <si>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</si>
  <si>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</si>
  <si>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</si>
  <si>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</si>
  <si>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</si>
  <si>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</si>
  <si>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</si>
  <si>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</si>
  <si>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</si>
  <si>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</si>
  <si>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</si>
  <si>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</si>
  <si>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</si>
  <si>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</si>
  <si>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</si>
  <si>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</si>
  <si>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</si>
  <si>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</si>
  <si>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</si>
  <si>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</si>
  <si>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</si>
  <si>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</si>
  <si>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</si>
  <si>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</si>
  <si>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</si>
  <si>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</si>
  <si>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</si>
  <si>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</si>
  <si>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</si>
  <si>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</si>
  <si>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</si>
  <si>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</si>
  <si>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</si>
  <si>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</si>
  <si>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</si>
  <si>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</si>
  <si>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</si>
  <si>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</si>
  <si>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</si>
  <si>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</si>
  <si>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</si>
  <si>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</si>
  <si>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</si>
  <si>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</si>
  <si>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</si>
  <si>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</si>
  <si>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</si>
  <si>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</si>
  <si>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</si>
  <si>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</si>
  <si>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</si>
  <si>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</si>
  <si>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</si>
  <si>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</si>
  <si>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</si>
  <si>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</si>
  <si>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</si>
  <si>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</si>
  <si>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</si>
  <si>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</si>
  <si>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</si>
  <si>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</si>
  <si>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</si>
  <si>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</si>
  <si>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</si>
  <si>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</si>
  <si>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</si>
  <si>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</si>
  <si>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</si>
  <si>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</si>
  <si>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</si>
  <si>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</si>
  <si>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</si>
  <si>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</si>
  <si>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</si>
  <si>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</si>
  <si>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</si>
  <si>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</si>
  <si>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</si>
  <si>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</si>
  <si>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</si>
  <si>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</si>
  <si>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</si>
  <si>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</si>
  <si>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</si>
  <si>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</si>
  <si>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</si>
  <si>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</si>
  <si>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</si>
  <si>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</si>
  <si>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</si>
  <si>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</si>
  <si>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</si>
  <si>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</si>
  <si>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</si>
  <si>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</si>
  <si>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</si>
  <si>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</si>
  <si>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</si>
  <si>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</si>
  <si>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</si>
  <si>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</si>
  <si>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</si>
  <si>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</si>
  <si>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</si>
  <si>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</si>
  <si>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</si>
  <si>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</si>
  <si>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</si>
  <si>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</si>
  <si>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</si>
  <si>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</si>
  <si>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</si>
  <si>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</si>
  <si>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</si>
  <si>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</si>
  <si>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</si>
  <si>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</si>
  <si>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</si>
  <si>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</si>
  <si>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</si>
  <si>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</si>
  <si>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</si>
  <si>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</si>
  <si>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</si>
  <si>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</si>
  <si>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</si>
  <si>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</si>
  <si>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</si>
  <si>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</si>
  <si>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</si>
  <si>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</si>
  <si>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</si>
  <si>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</si>
  <si>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</si>
  <si>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</si>
  <si>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</si>
  <si>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</si>
  <si>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</si>
  <si>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</si>
  <si>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</si>
  <si>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</si>
  <si>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</si>
  <si>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</si>
  <si>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</si>
  <si>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</si>
  <si>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</si>
  <si>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</si>
  <si>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</si>
  <si>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</si>
  <si>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</si>
  <si>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</si>
  <si>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</si>
  <si>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</si>
  <si>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</si>
  <si>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</si>
  <si>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</si>
  <si>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</si>
  <si>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</si>
  <si>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</si>
  <si>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</si>
  <si>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</si>
  <si>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</si>
  <si>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</si>
  <si>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</si>
  <si>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</si>
  <si>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</si>
  <si>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</si>
  <si>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</si>
  <si>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</si>
  <si>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</si>
  <si>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</si>
  <si>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</si>
  <si>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</si>
  <si>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</si>
  <si>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</si>
  <si>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</si>
  <si>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</si>
  <si>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</si>
  <si>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</si>
  <si>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</si>
  <si>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</si>
  <si>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</si>
  <si>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</si>
  <si>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</si>
  <si>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</si>
  <si>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</si>
  <si>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</si>
  <si>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</si>
  <si>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</si>
  <si>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</si>
  <si>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</si>
  <si>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</si>
  <si>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</si>
  <si>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</si>
  <si>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</si>
  <si>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</si>
  <si>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</si>
  <si>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</si>
  <si>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</si>
  <si>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</si>
  <si>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</si>
  <si>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</si>
  <si>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</si>
  <si>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</si>
  <si>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</si>
  <si>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</si>
  <si>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</si>
  <si>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</si>
  <si>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</si>
  <si>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</si>
  <si>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</si>
  <si>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</si>
  <si>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</si>
  <si>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</si>
  <si>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</si>
  <si>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</si>
  <si>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</si>
  <si>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</si>
  <si>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</si>
  <si>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</si>
  <si>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</si>
  <si>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</si>
  <si>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</si>
  <si>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</si>
  <si>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</si>
  <si>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</si>
  <si>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</si>
  <si>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</si>
  <si>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</si>
  <si>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</si>
  <si>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</si>
  <si>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</si>
  <si>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</si>
  <si>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</si>
  <si>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</si>
  <si>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</si>
  <si>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</si>
  <si>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</si>
  <si>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</si>
  <si>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</si>
  <si>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</si>
  <si>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</si>
  <si>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</si>
  <si>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</si>
  <si>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</si>
  <si>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</si>
  <si>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</si>
  <si>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</si>
  <si>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</si>
  <si>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</si>
  <si>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</si>
  <si>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</si>
  <si>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</si>
  <si>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</si>
  <si>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</si>
  <si>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</si>
  <si>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</si>
  <si>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</si>
  <si>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</si>
  <si>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</si>
  <si>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</si>
  <si>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</si>
  <si>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</si>
  <si>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</si>
  <si>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</si>
  <si>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</si>
  <si>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</si>
  <si>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</si>
  <si>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</si>
  <si>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</si>
  <si>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</si>
  <si>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</si>
  <si>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</si>
  <si>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</si>
  <si>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</si>
  <si>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</si>
  <si>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</si>
  <si>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</si>
  <si>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</si>
  <si>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</si>
  <si>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</si>
  <si>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</si>
  <si>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</si>
  <si>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</si>
  <si>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</si>
  <si>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</si>
  <si>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</si>
  <si>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</si>
  <si>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</si>
  <si>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</si>
  <si>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</si>
  <si>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</si>
  <si>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</si>
  <si>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</si>
  <si>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</si>
  <si>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</si>
  <si>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</si>
  <si>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</si>
  <si>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</si>
  <si>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</si>
  <si>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</si>
  <si>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</si>
  <si>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</si>
  <si>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</si>
  <si>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</si>
  <si>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</si>
  <si>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</si>
  <si>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</si>
  <si>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</si>
  <si>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</si>
  <si>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</si>
  <si>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</si>
  <si>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</si>
  <si>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</si>
  <si>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</si>
  <si>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</si>
  <si>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</si>
  <si>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</si>
  <si>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</si>
  <si>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</si>
  <si>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</si>
  <si>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</si>
  <si>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</si>
  <si>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</si>
  <si>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</si>
  <si>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</si>
  <si>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</si>
  <si>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</si>
  <si>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</si>
  <si>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</si>
  <si>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</si>
  <si>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</si>
  <si>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</si>
  <si>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</si>
  <si>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</si>
  <si>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</si>
  <si>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</si>
  <si>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</si>
  <si>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</si>
  <si>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</si>
  <si>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</si>
  <si>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</si>
  <si>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</si>
  <si>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</si>
  <si>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</si>
  <si>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</si>
  <si>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</si>
  <si>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</si>
  <si>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</si>
  <si>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</si>
  <si>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</si>
  <si>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</si>
  <si>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</si>
  <si>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</si>
  <si>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</si>
  <si>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</si>
  <si>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</si>
  <si>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</si>
  <si>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</si>
  <si>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</si>
  <si>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</si>
  <si>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</si>
  <si>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</si>
  <si>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</si>
  <si>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</si>
  <si>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</si>
  <si>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</si>
  <si>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</si>
  <si>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</si>
  <si>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</si>
  <si>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</si>
  <si>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</si>
  <si>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</si>
  <si>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</si>
  <si>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</si>
  <si>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</si>
  <si>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</si>
  <si>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</si>
  <si>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</si>
  <si>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</si>
  <si>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</si>
  <si>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</si>
  <si>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</si>
  <si>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</si>
  <si>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</si>
  <si>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</si>
  <si>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</si>
  <si>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</si>
  <si>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</si>
  <si>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</si>
  <si>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</si>
  <si>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</si>
  <si>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</si>
  <si>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</si>
  <si>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</si>
  <si>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</si>
  <si>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</si>
  <si>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</si>
  <si>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</si>
  <si>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</si>
  <si>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</si>
  <si>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</si>
  <si>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</si>
  <si>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</si>
  <si>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</si>
  <si>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</si>
  <si>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</si>
  <si>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</si>
  <si>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</si>
  <si>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</si>
  <si>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</si>
  <si>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</si>
  <si>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</si>
  <si>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</si>
  <si>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</si>
  <si>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</si>
  <si>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</si>
  <si>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</si>
  <si>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</si>
  <si>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</si>
  <si>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</si>
  <si>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</si>
  <si>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</si>
  <si>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</si>
  <si>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</si>
  <si>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</si>
  <si>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</si>
  <si>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</si>
  <si>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</si>
  <si>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</si>
  <si>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</si>
  <si>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</si>
  <si>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</si>
  <si>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</si>
  <si>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</si>
  <si>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</si>
  <si>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</si>
  <si>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</si>
  <si>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</si>
  <si>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</si>
  <si>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</si>
  <si>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</si>
  <si>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</si>
  <si>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</si>
  <si>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</si>
  <si>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</si>
  <si>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</si>
  <si>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</si>
  <si>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</si>
  <si>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</si>
  <si>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</si>
  <si>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</si>
  <si>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</si>
  <si>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</si>
  <si>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</si>
  <si>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</si>
  <si>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</si>
  <si>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</si>
  <si>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</si>
  <si>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</si>
  <si>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</si>
  <si>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</si>
  <si>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</si>
  <si>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</si>
  <si>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</si>
  <si>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</si>
  <si>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</si>
  <si>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</si>
  <si>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</si>
  <si>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</si>
  <si>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</si>
  <si>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</si>
  <si>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</si>
  <si>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</si>
  <si>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</si>
  <si>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</si>
  <si>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</si>
  <si>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</si>
  <si>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</si>
  <si>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</si>
  <si>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</si>
  <si>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</si>
  <si>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</si>
  <si>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</si>
  <si>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</si>
  <si>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</si>
  <si>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</si>
  <si>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</si>
  <si>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</si>
  <si>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</si>
  <si>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</si>
  <si>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</si>
  <si>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</si>
  <si>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</si>
  <si>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</si>
  <si>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</si>
  <si>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</si>
  <si>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</si>
  <si>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</si>
  <si>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</si>
  <si>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</si>
  <si>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</si>
  <si>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</si>
  <si>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</si>
  <si>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</si>
  <si>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</si>
  <si>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</si>
  <si>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</si>
  <si>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</si>
  <si>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</si>
  <si>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</si>
  <si>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</si>
  <si>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</si>
  <si>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</si>
  <si>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</si>
  <si>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</si>
  <si>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</si>
  <si>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</si>
  <si>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</si>
  <si>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</si>
  <si>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</si>
  <si>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</si>
  <si>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</si>
  <si>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</si>
  <si>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</si>
  <si>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</si>
  <si>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</si>
  <si>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</si>
  <si>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</si>
  <si>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</si>
  <si>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</si>
  <si>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</si>
  <si>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</si>
  <si>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</si>
  <si>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</si>
  <si>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</si>
  <si>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</si>
  <si>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</si>
  <si>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</si>
  <si>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</si>
  <si>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</si>
  <si>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</si>
  <si>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</si>
  <si>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</si>
  <si>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</si>
  <si>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</si>
  <si>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</si>
  <si>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</si>
  <si>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</si>
  <si>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</si>
  <si>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</si>
  <si>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</si>
  <si>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</si>
  <si>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</si>
  <si>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</si>
  <si>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</si>
  <si>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</si>
  <si>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</si>
  <si>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</si>
  <si>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</si>
  <si>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</si>
  <si>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</si>
  <si>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</si>
  <si>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</si>
  <si>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</si>
  <si>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</si>
  <si>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</si>
  <si>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</si>
  <si>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</si>
  <si>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</si>
  <si>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</si>
  <si>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</si>
  <si>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</si>
  <si>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</si>
  <si>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</si>
  <si>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</si>
  <si>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</si>
  <si>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</si>
  <si>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</si>
  <si>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</si>
  <si>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</si>
  <si>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</si>
  <si>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</si>
  <si>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</si>
  <si>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</si>
  <si>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</si>
  <si>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</si>
  <si>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</si>
  <si>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</si>
  <si>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</si>
  <si>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</si>
  <si>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</si>
  <si>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</si>
  <si>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</si>
  <si>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</si>
  <si>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</si>
  <si>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</si>
  <si>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</si>
  <si>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</si>
  <si>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</si>
  <si>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</si>
  <si>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</si>
  <si>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</si>
  <si>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</si>
  <si>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</si>
  <si>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</si>
  <si>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</si>
  <si>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</si>
  <si>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</si>
  <si>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</si>
  <si>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</si>
  <si>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</si>
  <si>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</si>
  <si>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</si>
  <si>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</si>
  <si>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</si>
  <si>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</si>
  <si>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</si>
  <si>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</si>
  <si>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</si>
  <si>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</si>
  <si>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</si>
  <si>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</si>
  <si>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</si>
  <si>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</si>
  <si>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</si>
  <si>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</si>
  <si>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</si>
  <si>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</si>
  <si>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</si>
  <si>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</si>
  <si>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</si>
  <si>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</si>
  <si>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</si>
  <si>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</si>
  <si>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</si>
  <si>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</si>
  <si>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</si>
  <si>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</si>
  <si>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</si>
  <si>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</si>
  <si>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</si>
  <si>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</si>
  <si>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</si>
  <si>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</si>
  <si>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</si>
  <si>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</si>
  <si>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</si>
  <si>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</si>
  <si>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</si>
  <si>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</si>
  <si>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</si>
  <si>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</si>
  <si>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</si>
  <si>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</si>
  <si>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</si>
  <si>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</si>
  <si>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</si>
  <si>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</si>
  <si>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</si>
  <si>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</si>
  <si>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</si>
  <si>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</si>
  <si>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</si>
  <si>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</si>
  <si>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</si>
  <si>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</si>
  <si>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</si>
  <si>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</si>
  <si>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</si>
  <si>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</si>
  <si>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</si>
  <si>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</si>
  <si>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</si>
  <si>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</si>
  <si>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</si>
  <si>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</si>
  <si>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</si>
  <si>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</si>
  <si>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</si>
  <si>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</si>
  <si>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</si>
  <si>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</si>
  <si>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</si>
  <si>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</si>
  <si>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</si>
  <si>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</si>
  <si>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</si>
  <si>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</si>
  <si>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</si>
  <si>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</si>
  <si>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</si>
  <si>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</si>
  <si>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</si>
  <si>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</si>
  <si>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</si>
  <si>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</si>
  <si>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</si>
  <si>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</si>
  <si>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</si>
  <si>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</si>
  <si>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</si>
  <si>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</si>
  <si>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</si>
  <si>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</si>
  <si>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</si>
  <si>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</si>
  <si>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</si>
  <si>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</si>
  <si>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</si>
  <si>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</si>
  <si>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</si>
  <si>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</si>
  <si>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</si>
  <si>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</si>
  <si>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</si>
  <si>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</si>
  <si>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</si>
  <si>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</si>
  <si>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</si>
  <si>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</si>
  <si>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</si>
  <si>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</si>
  <si>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</si>
  <si>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</si>
  <si>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</si>
  <si>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</si>
  <si>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</si>
  <si>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</si>
  <si>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</si>
  <si>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</si>
  <si>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</si>
  <si>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</si>
  <si>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</si>
  <si>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</si>
  <si>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</si>
  <si>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</si>
  <si>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</si>
  <si>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</si>
  <si>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</si>
  <si>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</si>
  <si>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</si>
  <si>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</si>
  <si>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</si>
  <si>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</si>
  <si>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</si>
  <si>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</si>
  <si>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</si>
  <si>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</si>
  <si>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</si>
  <si>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</si>
  <si>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</si>
  <si>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</si>
  <si>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</si>
  <si>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</si>
  <si>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</si>
  <si>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</si>
  <si>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</si>
  <si>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</si>
  <si>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</si>
  <si>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</si>
  <si>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</si>
  <si>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</si>
  <si>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</si>
  <si>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</si>
  <si>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</si>
  <si>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</si>
  <si>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</si>
  <si>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</si>
  <si>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</si>
  <si>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</si>
  <si>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</si>
  <si>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</si>
  <si>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</si>
  <si>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</si>
  <si>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</si>
  <si>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</si>
  <si>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</si>
  <si>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</si>
  <si>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</si>
  <si>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</si>
  <si>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</si>
  <si>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</si>
  <si>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</si>
  <si>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</si>
  <si>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</si>
  <si>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</si>
  <si>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</si>
  <si>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</si>
  <si>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</si>
  <si>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</si>
  <si>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</si>
  <si>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</si>
  <si>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</si>
  <si>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</si>
  <si>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</si>
  <si>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</si>
  <si>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</si>
  <si>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</si>
  <si>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</si>
  <si>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</si>
  <si>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</si>
  <si>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</si>
  <si>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</si>
  <si>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</si>
  <si>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</si>
  <si>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</si>
  <si>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</si>
  <si>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</si>
  <si>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</si>
  <si>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</si>
  <si>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</si>
  <si>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</si>
  <si>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</si>
  <si>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</si>
  <si>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</si>
  <si>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</si>
  <si>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</si>
  <si>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</si>
  <si>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</si>
  <si>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</si>
  <si>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</si>
  <si>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</si>
  <si>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</si>
  <si>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</si>
  <si>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</si>
  <si>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</si>
  <si>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</si>
  <si>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</si>
  <si>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</si>
  <si>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</si>
  <si>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</si>
  <si>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</si>
  <si>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</si>
  <si>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</si>
  <si>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</si>
  <si>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</si>
  <si>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</si>
  <si>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</si>
  <si>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</si>
  <si>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</si>
  <si>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</si>
  <si>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</si>
  <si>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</si>
  <si>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</si>
  <si>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</si>
  <si>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</si>
  <si>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</si>
  <si>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</si>
  <si>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</si>
  <si>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</si>
  <si>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</si>
  <si>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</si>
  <si>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</si>
  <si>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</si>
  <si>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</si>
  <si>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</si>
  <si>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</si>
  <si>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</si>
  <si>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</si>
  <si>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</si>
  <si>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</si>
  <si>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</si>
  <si>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</si>
  <si>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</si>
  <si>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</si>
  <si>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</si>
  <si>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</si>
  <si>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</si>
  <si>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</si>
  <si>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</si>
  <si>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</si>
  <si>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</si>
  <si>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</si>
  <si>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</si>
  <si>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</si>
  <si>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</si>
  <si>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</si>
  <si>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</si>
  <si>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</si>
  <si>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</si>
  <si>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</si>
  <si>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</si>
  <si>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</si>
  <si>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</si>
  <si>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</si>
  <si>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</si>
  <si>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</si>
  <si>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</si>
  <si>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</si>
  <si>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</si>
  <si>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</si>
  <si>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</si>
  <si>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</si>
  <si>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</si>
  <si>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</si>
  <si>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</si>
  <si>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</si>
  <si>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</si>
  <si>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</si>
  <si>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</si>
  <si>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</si>
  <si>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</si>
  <si>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</si>
  <si>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</si>
  <si>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</si>
  <si>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</si>
  <si>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</si>
  <si>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</si>
  <si>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</si>
  <si>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</si>
  <si>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</si>
  <si>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</si>
  <si>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</si>
  <si>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</si>
  <si>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</si>
  <si>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</si>
  <si>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</si>
  <si>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</si>
  <si>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</si>
  <si>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</si>
  <si>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</si>
  <si>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</si>
  <si>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</si>
  <si>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</si>
  <si>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</si>
  <si>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</si>
  <si>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</si>
  <si>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</si>
  <si>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</si>
  <si>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</si>
  <si>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</si>
  <si>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</si>
  <si>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</si>
  <si>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</si>
  <si>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</si>
  <si>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</si>
  <si>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</si>
  <si>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</si>
  <si>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</si>
  <si>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</si>
  <si>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</si>
  <si>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</si>
  <si>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</si>
  <si>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</si>
  <si>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</si>
  <si>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</si>
  <si>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</si>
  <si>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</si>
  <si>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</si>
  <si>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</si>
  <si>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</si>
  <si>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</si>
  <si>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</si>
  <si>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</si>
  <si>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</si>
  <si>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</si>
  <si>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</si>
  <si>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</si>
  <si>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</si>
  <si>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</si>
  <si>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</si>
  <si>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</si>
  <si>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</si>
  <si>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</si>
  <si>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</si>
  <si>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</si>
  <si>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</si>
  <si>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</si>
  <si>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</si>
  <si>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</si>
  <si>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</si>
  <si>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</si>
  <si>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</si>
  <si>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</si>
  <si>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</si>
  <si>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</si>
  <si>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</si>
  <si>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</si>
  <si>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</si>
  <si>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</si>
  <si>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</si>
  <si>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</si>
  <si>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</si>
  <si>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</si>
  <si>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</si>
  <si>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</si>
  <si>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</si>
  <si>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</si>
  <si>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</si>
  <si>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</si>
  <si>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</si>
  <si>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</si>
  <si>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</si>
  <si>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</si>
  <si>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</si>
  <si>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</si>
  <si>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</si>
  <si>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</si>
  <si>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</si>
  <si>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</si>
  <si>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</si>
  <si>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</si>
  <si>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</si>
  <si>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</si>
  <si>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</si>
  <si>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</si>
  <si>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</si>
  <si>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</si>
  <si>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</si>
  <si>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</si>
  <si>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</si>
  <si>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</si>
  <si>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</si>
  <si>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</si>
  <si>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</si>
  <si>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</si>
  <si>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</si>
  <si>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</si>
  <si>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</si>
  <si>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</si>
  <si>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</si>
  <si>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</si>
  <si>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</si>
  <si>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</si>
  <si>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</si>
  <si>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</si>
  <si>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</si>
  <si>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</si>
  <si>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</si>
  <si>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</si>
  <si>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</si>
  <si>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</si>
  <si>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</si>
  <si>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</si>
  <si>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</si>
  <si>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</si>
  <si>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</si>
  <si>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</si>
  <si>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</si>
  <si>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</si>
  <si>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</si>
  <si>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</si>
  <si>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</si>
  <si>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</si>
  <si>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</si>
  <si>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</si>
  <si>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</si>
  <si>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</si>
  <si>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</si>
  <si>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</si>
  <si>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</si>
  <si>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</si>
  <si>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</si>
  <si>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</si>
  <si>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</si>
  <si>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</si>
  <si>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</si>
  <si>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</si>
  <si>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</si>
  <si>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</si>
  <si>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</si>
  <si>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</si>
  <si>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</si>
  <si>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</si>
  <si>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</si>
  <si>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</si>
  <si>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</si>
  <si>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</si>
  <si>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</si>
  <si>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</si>
  <si>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</si>
  <si>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</si>
  <si>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</si>
  <si>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</si>
  <si>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</si>
  <si>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</si>
  <si>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</si>
  <si>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</si>
  <si>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</si>
  <si>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</si>
  <si>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</si>
  <si>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</si>
  <si>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</si>
  <si>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</si>
  <si>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</si>
  <si>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</si>
  <si>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</si>
  <si>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</si>
  <si>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</si>
  <si>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</si>
  <si>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</si>
  <si>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</si>
  <si>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</si>
  <si>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</si>
  <si>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</si>
  <si>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</si>
  <si>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</si>
  <si>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</si>
  <si>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</si>
  <si>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</si>
  <si>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</si>
  <si>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</si>
  <si>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</si>
  <si>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</si>
  <si>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</si>
  <si>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</si>
  <si>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</si>
  <si>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</si>
  <si>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</si>
  <si>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</si>
  <si>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</si>
  <si>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</si>
  <si>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</si>
  <si>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</si>
  <si>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</si>
  <si>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</si>
  <si>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</si>
  <si>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</si>
  <si>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</si>
  <si>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</si>
  <si>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</si>
  <si>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</si>
  <si>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</si>
  <si>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</si>
  <si>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</si>
  <si>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</si>
  <si>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</si>
  <si>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</si>
  <si>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</si>
  <si>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</si>
  <si>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</si>
  <si>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</si>
  <si>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</si>
  <si>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</si>
  <si>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</si>
  <si>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</si>
  <si>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</si>
  <si>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</si>
  <si>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</si>
  <si>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</si>
  <si>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</si>
  <si>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</si>
  <si>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</si>
  <si>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</si>
  <si>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</si>
  <si>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</si>
  <si>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</si>
  <si>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</si>
  <si>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</si>
  <si>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</si>
  <si>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</si>
  <si>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</si>
  <si>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</si>
  <si>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</si>
  <si>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</si>
  <si>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</si>
  <si>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</si>
  <si>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</si>
  <si>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</si>
  <si>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</si>
  <si>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</si>
  <si>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</si>
  <si>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</si>
  <si>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</si>
  <si>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</si>
  <si>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</si>
  <si>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</si>
  <si>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</si>
  <si>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</si>
  <si>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</si>
  <si>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</si>
  <si>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</si>
  <si>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</si>
  <si>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</si>
  <si>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</si>
  <si>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</si>
  <si>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</si>
  <si>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</si>
  <si>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</si>
  <si>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</si>
  <si>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</si>
  <si>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</si>
  <si>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</si>
  <si>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</si>
  <si>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</si>
  <si>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</si>
  <si>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</si>
  <si>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</si>
  <si>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</si>
  <si>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</si>
  <si>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</si>
  <si>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</si>
  <si>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</si>
  <si>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</si>
  <si>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</si>
  <si>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</si>
  <si>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</si>
  <si>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</si>
  <si>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</si>
  <si>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</si>
  <si>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</si>
  <si>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</si>
  <si>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</si>
  <si>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</si>
  <si>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</si>
  <si>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</si>
  <si>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</si>
  <si>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</si>
  <si>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</si>
  <si>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</si>
  <si>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</si>
  <si>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</si>
  <si>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</si>
  <si>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</si>
  <si>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</si>
  <si>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</si>
  <si>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</si>
  <si>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</si>
  <si>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</si>
  <si>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</si>
  <si>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</si>
  <si>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</si>
  <si>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</si>
  <si>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</si>
  <si>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</si>
  <si>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</si>
  <si>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</si>
  <si>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</si>
  <si>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</si>
  <si>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</si>
  <si>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</si>
  <si>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</si>
  <si>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</si>
  <si>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</si>
  <si>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</si>
  <si>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</si>
  <si>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</si>
  <si>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</si>
  <si>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</si>
  <si>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</si>
  <si>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</si>
  <si>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</si>
  <si>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</si>
  <si>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</si>
  <si>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</si>
  <si>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</si>
  <si>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</si>
  <si>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</si>
  <si>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</si>
  <si>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</si>
  <si>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</si>
  <si>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</si>
  <si>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</si>
  <si>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</si>
  <si>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</si>
  <si>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</si>
  <si>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</si>
  <si>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</si>
  <si>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</si>
  <si>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</si>
  <si>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</si>
  <si>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</si>
  <si>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</si>
  <si>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</si>
  <si>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</si>
  <si>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</si>
  <si>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</si>
  <si>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</si>
  <si>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</si>
  <si>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</si>
  <si>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</si>
  <si>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</si>
  <si>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</si>
  <si>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</si>
  <si>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</si>
  <si>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</si>
  <si>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</si>
  <si>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</si>
  <si>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</si>
  <si>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</si>
  <si>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</si>
  <si>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</si>
  <si>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</si>
  <si>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</si>
  <si>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</si>
  <si>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</si>
  <si>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</si>
  <si>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</si>
  <si>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</si>
  <si>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</si>
  <si>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</si>
  <si>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</si>
  <si>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</si>
  <si>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</si>
  <si>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</si>
  <si>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</si>
  <si>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</si>
  <si>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</si>
  <si>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</si>
  <si>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</si>
  <si>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</si>
  <si>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</si>
  <si>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</si>
  <si>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</si>
  <si>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</si>
  <si>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</si>
  <si>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</si>
  <si>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</si>
  <si>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</si>
  <si>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</si>
  <si>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</si>
  <si>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</si>
  <si>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</si>
  <si>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</si>
  <si>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</si>
  <si>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</si>
  <si>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</si>
  <si>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</si>
  <si>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</si>
  <si>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</si>
  <si>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</si>
  <si>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</si>
  <si>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</si>
  <si>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</si>
  <si>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</si>
  <si>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</si>
  <si>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</si>
  <si>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</si>
  <si>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</si>
  <si>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</si>
  <si>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</si>
  <si>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</si>
  <si>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</si>
  <si>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</si>
  <si>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</si>
  <si>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</si>
  <si>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</si>
  <si>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</si>
  <si>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</si>
  <si>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</si>
  <si>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</si>
  <si>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</si>
  <si>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</si>
  <si>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</si>
  <si>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</si>
  <si>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</si>
  <si>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</si>
  <si>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</si>
  <si>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</si>
  <si>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</si>
  <si>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</si>
  <si>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</si>
  <si>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</si>
  <si>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</si>
  <si>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</si>
  <si>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</si>
  <si>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</si>
  <si>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</si>
  <si>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</si>
  <si>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</si>
  <si>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</si>
  <si>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</si>
  <si>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</si>
  <si>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</si>
  <si>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</si>
  <si>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</si>
  <si>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</si>
  <si>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</si>
  <si>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</si>
  <si>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</si>
  <si>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</si>
  <si>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</si>
  <si>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</si>
  <si>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</si>
  <si>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</si>
  <si>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</si>
  <si>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</si>
  <si>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</si>
  <si>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</si>
  <si>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</si>
  <si>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</si>
  <si>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</si>
  <si>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</si>
  <si>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</si>
  <si>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</si>
  <si>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</si>
  <si>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</si>
  <si>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</si>
  <si>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</si>
  <si>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</si>
  <si>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</si>
  <si>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</si>
  <si>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</si>
  <si>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</si>
  <si>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</si>
  <si>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</si>
  <si>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</si>
  <si>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</si>
  <si>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</si>
  <si>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</si>
  <si>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</si>
  <si>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</si>
  <si>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</si>
  <si>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</si>
  <si>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</si>
  <si>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</si>
  <si>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</si>
  <si>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</si>
  <si>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</si>
  <si>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</si>
  <si>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</si>
  <si>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</si>
  <si>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</si>
  <si>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</si>
  <si>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</si>
  <si>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</si>
  <si>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</si>
  <si>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</si>
  <si>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</si>
  <si>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</si>
  <si>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</si>
  <si>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</si>
  <si>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</si>
  <si>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</si>
  <si>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</si>
  <si>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</si>
  <si>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</si>
  <si>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</si>
  <si>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</si>
  <si>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</si>
  <si>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</si>
  <si>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</si>
  <si>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</si>
  <si>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</si>
  <si>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</si>
  <si>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</si>
  <si>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</si>
  <si>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</si>
  <si>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</si>
  <si>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</si>
  <si>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</si>
  <si>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</si>
  <si>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</si>
  <si>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</si>
  <si>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</si>
  <si>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</si>
  <si>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</si>
  <si>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</si>
  <si>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</si>
  <si>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</si>
  <si>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</si>
  <si>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</si>
  <si>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</si>
  <si>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</si>
  <si>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</si>
  <si>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</si>
  <si>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</si>
  <si>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</si>
  <si>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</si>
  <si>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</si>
  <si>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</si>
  <si>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</si>
  <si>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</si>
  <si>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</si>
  <si>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</si>
  <si>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</si>
  <si>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</si>
  <si>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</si>
  <si>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</si>
  <si>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</si>
  <si>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</si>
  <si>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</si>
  <si>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</si>
  <si>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</si>
  <si>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</si>
  <si>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</si>
  <si>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</si>
  <si>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</si>
  <si>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</si>
  <si>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</si>
  <si>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</si>
  <si>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</si>
  <si>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</si>
  <si>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</si>
  <si>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</si>
  <si>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</si>
  <si>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</si>
  <si>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</si>
  <si>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</si>
  <si>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</si>
  <si>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</si>
  <si>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</si>
  <si>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</si>
  <si>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</si>
  <si>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</si>
  <si>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</si>
  <si>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</si>
  <si>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</si>
  <si>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</si>
  <si>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</si>
  <si>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</si>
  <si>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</si>
  <si>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</si>
  <si>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</si>
  <si>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</si>
  <si>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</si>
  <si>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</si>
  <si>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</si>
  <si>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</si>
  <si>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</si>
  <si>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</si>
  <si>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</si>
  <si>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</si>
  <si>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</si>
  <si>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</si>
  <si>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</si>
  <si>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</si>
  <si>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</si>
  <si>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</si>
  <si>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</si>
  <si>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</si>
  <si>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</si>
  <si>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</si>
  <si>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</si>
  <si>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</si>
  <si>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</si>
  <si>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</si>
  <si>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</si>
  <si>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</si>
  <si>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</si>
  <si>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</si>
  <si>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</si>
  <si>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</si>
  <si>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</si>
  <si>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</si>
  <si>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</si>
  <si>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</si>
  <si>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</si>
  <si>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</si>
  <si>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</si>
  <si>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</si>
  <si>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</si>
  <si>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</si>
  <si>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</si>
  <si>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</si>
  <si>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</si>
  <si>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</si>
  <si>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</si>
  <si>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</si>
  <si>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</si>
  <si>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</si>
  <si>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</si>
  <si>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</si>
  <si>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</si>
  <si>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</si>
  <si>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</si>
  <si>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</si>
  <si>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</si>
  <si>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</si>
  <si>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</si>
  <si>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</si>
  <si>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</si>
  <si>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</si>
  <si>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</si>
  <si>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</si>
  <si>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</si>
  <si>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</si>
  <si>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</si>
  <si>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</si>
  <si>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</si>
  <si>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</si>
  <si>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</si>
  <si>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</si>
  <si>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</si>
  <si>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</si>
  <si>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</si>
  <si>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</si>
  <si>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</si>
  <si>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</si>
  <si>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</si>
  <si>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</si>
  <si>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</si>
  <si>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</si>
  <si>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</si>
  <si>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</si>
  <si>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</si>
  <si>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</si>
  <si>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</si>
  <si>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</si>
  <si>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</si>
  <si>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</si>
  <si>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</si>
  <si>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</si>
  <si>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</si>
  <si>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</si>
  <si>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</si>
  <si>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</si>
  <si>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</si>
  <si>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</si>
  <si>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</si>
  <si>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</si>
  <si>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</si>
  <si>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</si>
  <si>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</si>
  <si>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</si>
  <si>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</si>
  <si>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</si>
  <si>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</si>
  <si>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</si>
  <si>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</si>
  <si>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</si>
  <si>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</si>
  <si>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</si>
  <si>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</si>
  <si>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</si>
  <si>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</si>
  <si>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</si>
  <si>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</si>
  <si>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</si>
  <si>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</si>
  <si>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</si>
  <si>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</si>
  <si>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</si>
  <si>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</si>
  <si>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</si>
  <si>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</si>
  <si>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</si>
  <si>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</si>
  <si>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</si>
  <si>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</si>
  <si>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</si>
  <si>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</si>
  <si>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</si>
  <si>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</si>
  <si>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</si>
  <si>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</si>
  <si>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</si>
  <si>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</si>
  <si>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</si>
  <si>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</si>
  <si>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</si>
  <si>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</si>
  <si>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</si>
  <si>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</si>
  <si>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</si>
  <si>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</si>
  <si>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</si>
  <si>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</si>
  <si>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</si>
  <si>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</si>
  <si>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</si>
  <si>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</si>
  <si>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</si>
  <si>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</si>
  <si>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</si>
  <si>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</si>
  <si>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</si>
  <si>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</si>
  <si>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</si>
  <si>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</si>
  <si>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</si>
  <si>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</si>
  <si>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</si>
  <si>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</si>
  <si>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</si>
  <si>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</si>
  <si>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</si>
  <si>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</si>
  <si>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</si>
  <si>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</si>
  <si>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</si>
  <si>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</si>
  <si>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</si>
  <si>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</si>
  <si>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</si>
  <si>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</si>
  <si>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</si>
  <si>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</si>
  <si>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</si>
  <si>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</si>
  <si>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</si>
  <si>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</si>
  <si>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</si>
  <si>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</si>
  <si>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</si>
  <si>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</si>
  <si>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</si>
  <si>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</si>
  <si>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</si>
  <si>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</si>
  <si>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</si>
  <si>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</si>
  <si>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</si>
  <si>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</si>
  <si>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</si>
  <si>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</si>
  <si>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</si>
  <si>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</si>
  <si>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</si>
  <si>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</si>
  <si>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</si>
  <si>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</si>
  <si>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</si>
  <si>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</si>
  <si>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</si>
  <si>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</si>
  <si>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</si>
  <si>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</si>
  <si>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</si>
  <si>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</si>
  <si>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</si>
  <si>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</si>
  <si>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</si>
  <si>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</si>
  <si>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</si>
  <si>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</si>
  <si>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</si>
  <si>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</si>
  <si>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</si>
  <si>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</si>
  <si>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</si>
  <si>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</si>
  <si>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</si>
  <si>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</si>
  <si>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</si>
  <si>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</si>
  <si>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</si>
  <si>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</si>
  <si>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</si>
  <si>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</si>
  <si>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</si>
  <si>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</si>
  <si>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</si>
  <si>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</si>
  <si>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</si>
  <si>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</si>
  <si>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</si>
  <si>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</si>
  <si>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</si>
  <si>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</si>
  <si>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</si>
  <si>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</si>
  <si>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</si>
  <si>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</si>
  <si>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</si>
  <si>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</si>
  <si>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</si>
  <si>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</si>
  <si>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</si>
  <si>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</si>
  <si>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</si>
  <si>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</si>
  <si>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</si>
  <si>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</si>
  <si>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</si>
  <si>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</si>
  <si>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</si>
  <si>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</si>
  <si>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</si>
  <si>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</si>
  <si>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</si>
  <si>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</si>
  <si>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</si>
  <si>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</si>
  <si>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</si>
  <si>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</si>
  <si>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</si>
  <si>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</si>
  <si>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</si>
  <si>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</si>
  <si>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</si>
  <si>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</si>
  <si>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</si>
  <si>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</si>
  <si>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</si>
  <si>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</si>
  <si>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</si>
  <si>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</si>
  <si>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</si>
  <si>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</si>
  <si>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</si>
  <si>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</si>
  <si>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</si>
  <si>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</si>
  <si>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</si>
  <si>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</si>
  <si>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</si>
  <si>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</si>
  <si>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</si>
  <si>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</si>
  <si>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</si>
  <si>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</si>
  <si>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</si>
  <si>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</si>
  <si>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</si>
  <si>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</si>
  <si>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</si>
  <si>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</si>
  <si>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</si>
  <si>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</si>
  <si>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</si>
  <si>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</si>
  <si>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</si>
  <si>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</si>
  <si>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</si>
  <si>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</si>
  <si>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</si>
  <si>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</si>
  <si>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</si>
  <si>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</si>
  <si>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</si>
  <si>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</si>
  <si>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</si>
  <si>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</si>
  <si>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</si>
  <si>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</si>
  <si>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</si>
  <si>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</si>
  <si>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</si>
  <si>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</si>
  <si>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</si>
  <si>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</si>
  <si>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</si>
  <si>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</si>
  <si>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</si>
  <si>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</si>
  <si>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</si>
  <si>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</si>
  <si>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</si>
  <si>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</si>
  <si>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</si>
  <si>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</si>
  <si>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</si>
  <si>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</si>
  <si>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</si>
  <si>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</si>
  <si>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</si>
  <si>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</si>
  <si>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</si>
  <si>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</si>
  <si>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</si>
  <si>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</si>
  <si>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</si>
  <si>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</si>
  <si>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</si>
  <si>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</si>
  <si>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</si>
  <si>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</si>
  <si>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</si>
  <si>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</si>
  <si>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</si>
  <si>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</si>
  <si>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</si>
  <si>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</si>
  <si>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</si>
  <si>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</si>
  <si>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</si>
  <si>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</si>
  <si>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</si>
  <si>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</si>
  <si>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</si>
  <si>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</si>
  <si>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</si>
  <si>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</si>
  <si>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</si>
  <si>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</si>
  <si>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</si>
  <si>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</si>
  <si>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</si>
  <si>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</si>
  <si>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</si>
  <si>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</si>
  <si>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</si>
  <si>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</si>
  <si>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</si>
  <si>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</si>
  <si>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</si>
  <si>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</si>
  <si>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</si>
  <si>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</si>
  <si>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</si>
  <si>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</si>
  <si>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</si>
  <si>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</si>
  <si>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</si>
  <si>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</si>
  <si>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</si>
  <si>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</si>
  <si>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</si>
  <si>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</si>
  <si>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</si>
  <si>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</si>
  <si>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</si>
  <si>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</si>
  <si>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</si>
  <si>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</si>
  <si>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</si>
  <si>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</si>
  <si>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</si>
  <si>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</si>
  <si>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</si>
  <si>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</si>
  <si>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</si>
  <si>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</si>
  <si>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</si>
  <si>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</si>
  <si>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</si>
  <si>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</si>
  <si>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</si>
  <si>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</si>
  <si>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</si>
  <si>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</si>
  <si>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</si>
  <si>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</si>
  <si>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</si>
  <si>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</si>
  <si>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</si>
  <si>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</si>
  <si>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</si>
  <si>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</si>
  <si>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</si>
  <si>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</si>
  <si>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</si>
  <si>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</si>
  <si>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</si>
  <si>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</si>
  <si>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</si>
  <si>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</si>
  <si>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</si>
  <si>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</si>
  <si>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</si>
  <si>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</si>
  <si>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</si>
  <si>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</si>
  <si>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</si>
  <si>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</si>
  <si>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</si>
  <si>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</si>
  <si>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</si>
  <si>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</si>
  <si>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</si>
  <si>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</si>
  <si>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</si>
  <si>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</si>
  <si>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</si>
  <si>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</si>
  <si>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</si>
  <si>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</si>
  <si>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</si>
  <si>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</si>
  <si>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</si>
  <si>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</si>
  <si>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</si>
  <si>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</si>
  <si>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</si>
  <si>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</si>
  <si>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</si>
  <si>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</si>
  <si>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</si>
  <si>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</si>
  <si>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</si>
  <si>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</si>
  <si>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</si>
  <si>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</si>
  <si>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</si>
  <si>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</si>
  <si>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</si>
  <si>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</si>
  <si>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</si>
  <si>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</si>
  <si>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</si>
  <si>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</si>
  <si>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</si>
  <si>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</si>
  <si>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</si>
  <si>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</si>
  <si>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</si>
  <si>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</si>
  <si>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</si>
  <si>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</si>
  <si>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</si>
  <si>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</si>
  <si>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</si>
  <si>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</si>
  <si>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</si>
  <si>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</si>
  <si>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</si>
  <si>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</si>
  <si>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</si>
  <si>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</si>
  <si>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</si>
  <si>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</si>
  <si>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</si>
  <si>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</si>
  <si>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</si>
  <si>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</si>
  <si>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</si>
  <si>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</si>
  <si>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</si>
  <si>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</si>
  <si>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</si>
  <si>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</si>
  <si>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</si>
  <si>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</si>
  <si>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</si>
  <si>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</si>
  <si>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</si>
  <si>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</si>
  <si>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</si>
  <si>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</si>
  <si>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</si>
  <si>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</si>
  <si>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</si>
  <si>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</si>
  <si>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</si>
  <si>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</si>
  <si>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</si>
  <si>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</si>
  <si>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</si>
  <si>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</si>
  <si>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</si>
  <si>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</si>
  <si>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</si>
  <si>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</si>
  <si>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</si>
  <si>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</si>
  <si>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</si>
  <si>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</si>
  <si>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</si>
  <si>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</si>
  <si>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</si>
  <si>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</si>
  <si>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</si>
  <si>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</si>
  <si>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</si>
  <si>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</si>
  <si>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</si>
  <si>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</si>
  <si>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</si>
  <si>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</si>
  <si>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</si>
  <si>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</si>
  <si>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</si>
  <si>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</si>
  <si>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</si>
  <si>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</si>
  <si>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</si>
  <si>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</si>
  <si>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</si>
  <si>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</si>
  <si>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</si>
  <si>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</si>
  <si>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</si>
  <si>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</si>
  <si>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</si>
  <si>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</si>
  <si>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</si>
  <si>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</si>
  <si>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</si>
  <si>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</si>
  <si>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</si>
  <si>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</si>
  <si>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</si>
  <si>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</si>
  <si>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</si>
  <si>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</si>
  <si>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</si>
  <si>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</si>
  <si>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</si>
  <si>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</si>
  <si>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</si>
  <si>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</si>
  <si>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</si>
  <si>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</si>
  <si>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</si>
  <si>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</si>
  <si>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</si>
  <si>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</si>
  <si>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</si>
  <si>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</si>
  <si>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</si>
  <si>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</si>
  <si>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</si>
  <si>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</si>
  <si>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</si>
  <si>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</si>
  <si>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</si>
  <si>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</si>
  <si>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</si>
  <si>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</si>
  <si>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</si>
  <si>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</si>
  <si>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</si>
  <si>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</si>
  <si>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</si>
  <si>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</si>
  <si>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</si>
  <si>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</si>
  <si>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</si>
  <si>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</si>
  <si>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</si>
  <si>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</si>
  <si>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</si>
  <si>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</si>
  <si>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</si>
  <si>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</si>
  <si>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</si>
  <si>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</si>
  <si>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</si>
  <si>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</si>
  <si>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</si>
  <si>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</si>
  <si>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</si>
  <si>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</si>
  <si>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</si>
  <si>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</si>
  <si>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</si>
  <si>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</si>
  <si>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</si>
  <si>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</si>
  <si>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</si>
  <si>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</si>
  <si>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</si>
  <si>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</si>
  <si>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</si>
  <si>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</si>
  <si>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</si>
  <si>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</si>
  <si>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</si>
  <si>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</si>
  <si>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</si>
  <si>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</si>
  <si>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</si>
  <si>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</si>
  <si>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</si>
  <si>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</si>
  <si>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</si>
  <si>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</si>
  <si>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</si>
  <si>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</si>
  <si>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</si>
  <si>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</si>
  <si>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</si>
  <si>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</si>
  <si>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</si>
  <si>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</si>
  <si>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</si>
  <si>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</si>
  <si>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</si>
  <si>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</si>
  <si>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</si>
  <si>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</si>
  <si>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</si>
  <si>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</si>
  <si>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</si>
  <si>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</si>
  <si>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</si>
  <si>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</si>
  <si>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</si>
  <si>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</si>
  <si>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</si>
  <si>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</si>
  <si>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</si>
  <si>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</si>
  <si>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</si>
  <si>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</si>
  <si>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</si>
  <si>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</si>
  <si>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</si>
  <si>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</si>
  <si>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</si>
  <si>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</si>
  <si>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</si>
  <si>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</si>
  <si>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</si>
  <si>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</si>
  <si>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</si>
  <si>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</si>
  <si>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</si>
  <si>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</si>
  <si>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</si>
  <si>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</si>
  <si>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</si>
  <si>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</si>
  <si>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</si>
  <si>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</si>
  <si>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</si>
  <si>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</si>
  <si>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</si>
  <si>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</si>
  <si>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</si>
  <si>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</si>
  <si>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</si>
  <si>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</si>
  <si>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</si>
  <si>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</si>
  <si>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</si>
  <si>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</si>
  <si>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</si>
  <si>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</si>
  <si>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</si>
  <si>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</si>
  <si>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</si>
  <si>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</si>
  <si>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</si>
  <si>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</si>
  <si>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</si>
  <si>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</si>
  <si>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</si>
  <si>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</si>
  <si>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</si>
  <si>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</si>
  <si>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</si>
  <si>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</si>
  <si>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</si>
  <si>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</si>
  <si>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</si>
  <si>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</si>
  <si>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</si>
  <si>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</si>
  <si>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</si>
  <si>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</si>
  <si>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</si>
  <si>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</si>
  <si>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</si>
  <si>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</si>
  <si>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</si>
  <si>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</si>
  <si>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</si>
  <si>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</si>
  <si>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</si>
  <si>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</si>
  <si>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</si>
  <si>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</si>
  <si>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</si>
  <si>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</si>
  <si>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</si>
  <si>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</si>
  <si>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</si>
  <si>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</si>
  <si>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</si>
  <si>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</si>
  <si>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</si>
  <si>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</si>
  <si>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</si>
  <si>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</si>
  <si>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</si>
  <si>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</si>
  <si>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</si>
  <si>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</si>
  <si>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</si>
  <si>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</si>
  <si>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</si>
  <si>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</si>
  <si>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</si>
  <si>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</si>
  <si>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</si>
  <si>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</si>
  <si>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</si>
  <si>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</si>
  <si>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</si>
  <si>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</si>
  <si>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</si>
  <si>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</si>
  <si>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</si>
  <si>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</si>
  <si>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</si>
  <si>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</si>
  <si>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</si>
  <si>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</si>
  <si>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</si>
  <si>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</si>
  <si>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</si>
  <si>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</si>
  <si>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</si>
  <si>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</si>
  <si>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</si>
  <si>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</si>
  <si>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</si>
  <si>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</si>
  <si>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</si>
  <si>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</si>
  <si>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</si>
  <si>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</si>
  <si>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</si>
  <si>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</si>
  <si>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</si>
  <si>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</si>
  <si>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</si>
  <si>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</si>
  <si>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</si>
  <si>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</si>
  <si>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</si>
  <si>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</si>
  <si>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</si>
  <si>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</si>
  <si>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</si>
  <si>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</si>
  <si>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</si>
  <si>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</si>
  <si>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</si>
  <si>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</si>
  <si>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</si>
  <si>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</si>
  <si>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</si>
  <si>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</si>
  <si>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</si>
  <si>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</si>
  <si>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</si>
  <si>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</si>
  <si>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</si>
  <si>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</si>
  <si>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</si>
  <si>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</si>
  <si>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</si>
  <si>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</si>
  <si>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</si>
  <si>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</si>
  <si>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</si>
  <si>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</si>
  <si>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</si>
  <si>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</si>
  <si>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</si>
  <si>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</si>
  <si>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</si>
  <si>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</si>
  <si>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</si>
  <si>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</si>
  <si>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</si>
  <si>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</si>
  <si>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</si>
  <si>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</si>
  <si>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</si>
  <si>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</si>
  <si>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</si>
  <si>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</si>
  <si>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</si>
  <si>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</si>
  <si>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</si>
  <si>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</si>
  <si>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</si>
  <si>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</si>
  <si>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</si>
  <si>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</si>
  <si>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</si>
  <si>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</si>
  <si>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</si>
  <si>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</si>
  <si>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</si>
  <si>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</si>
  <si>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</si>
  <si>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</si>
  <si>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</si>
  <si>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</si>
  <si>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</si>
  <si>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</si>
  <si>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</si>
  <si>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</si>
  <si>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</si>
  <si>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</si>
  <si>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</si>
  <si>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</si>
  <si>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</si>
  <si>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</si>
  <si>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</si>
  <si>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</si>
  <si>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</si>
  <si>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</si>
  <si>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</si>
  <si>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</si>
  <si>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</si>
  <si>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</si>
  <si>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</si>
  <si>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</si>
  <si>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</si>
  <si>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</si>
  <si>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</si>
  <si>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</si>
  <si>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</si>
  <si>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</si>
  <si>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</si>
  <si>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</si>
  <si>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</si>
  <si>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</si>
  <si>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</si>
  <si>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</si>
  <si>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</si>
  <si>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</si>
  <si>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</si>
  <si>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</si>
  <si>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</si>
  <si>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</si>
  <si>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</si>
  <si>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</si>
  <si>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</si>
  <si>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</si>
  <si>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</si>
  <si>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</si>
  <si>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</si>
  <si>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</si>
  <si>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</si>
  <si>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</si>
  <si>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</si>
  <si>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</si>
  <si>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</si>
  <si>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</si>
  <si>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</si>
  <si>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</si>
  <si>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</si>
  <si>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</si>
  <si>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</si>
  <si>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</si>
  <si>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</si>
  <si>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</si>
  <si>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</si>
  <si>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</si>
  <si>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</si>
  <si>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</si>
  <si>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</si>
  <si>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</si>
  <si>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</si>
  <si>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</si>
  <si>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</si>
  <si>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</si>
  <si>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</si>
  <si>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</si>
  <si>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</si>
  <si>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</si>
  <si>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</si>
  <si>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</si>
  <si>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</si>
  <si>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</si>
  <si>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</si>
  <si>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</si>
  <si>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</si>
  <si>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</si>
  <si>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</si>
  <si>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</si>
  <si>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</si>
  <si>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</si>
  <si>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</si>
  <si>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</si>
  <si>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</si>
  <si>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</si>
  <si>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</si>
  <si>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</si>
  <si>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</si>
  <si>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</si>
  <si>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</si>
  <si>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</si>
  <si>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</si>
  <si>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</si>
  <si>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</si>
  <si>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</si>
  <si>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</si>
  <si>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</si>
  <si>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</si>
  <si>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</si>
  <si>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</si>
  <si>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</si>
  <si>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</si>
  <si>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</si>
  <si>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</si>
  <si>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</si>
  <si>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</si>
  <si>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</si>
  <si>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</si>
  <si>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</si>
  <si>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</si>
  <si>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</si>
  <si>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</si>
  <si>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</si>
  <si>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</si>
  <si>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</si>
  <si>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</si>
  <si>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</si>
  <si>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</si>
  <si>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</si>
  <si>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</si>
  <si>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</si>
  <si>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</si>
  <si>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</si>
  <si>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</si>
  <si>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</si>
  <si>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</si>
  <si>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</si>
  <si>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</si>
  <si>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</si>
  <si>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</si>
  <si>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</si>
  <si>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</si>
  <si>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</si>
  <si>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</si>
  <si>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</si>
  <si>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</si>
  <si>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</si>
  <si>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</si>
  <si>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</si>
  <si>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</si>
  <si>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</si>
  <si>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</si>
  <si>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</si>
  <si>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</si>
  <si>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</si>
  <si>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</si>
  <si>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</si>
  <si>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</si>
  <si>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</si>
  <si>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</si>
  <si>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</si>
  <si>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</si>
  <si>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</si>
  <si>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</si>
  <si>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</si>
  <si>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</si>
  <si>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</si>
  <si>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</si>
  <si>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</si>
  <si>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</si>
  <si>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</si>
  <si>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</si>
  <si>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</si>
  <si>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</si>
  <si>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</si>
  <si>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</si>
  <si>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</si>
  <si>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</si>
  <si>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</si>
  <si>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</si>
  <si>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</si>
  <si>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</si>
  <si>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</si>
  <si>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</si>
  <si>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</si>
  <si>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</si>
  <si>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</si>
  <si>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</si>
  <si>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</si>
  <si>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</si>
  <si>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</si>
  <si>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</si>
  <si>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</si>
  <si>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</si>
  <si>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</si>
  <si>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</si>
  <si>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</si>
  <si>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</si>
  <si>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</si>
  <si>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</si>
  <si>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</si>
  <si>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</si>
  <si>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</si>
  <si>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</si>
  <si>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</si>
  <si>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</si>
  <si>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</si>
  <si>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</si>
  <si>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</si>
  <si>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</si>
  <si>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</si>
  <si>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</si>
  <si>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</si>
  <si>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</si>
  <si>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</si>
  <si>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</si>
  <si>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</si>
  <si>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</si>
  <si>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</si>
  <si>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</si>
  <si>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</si>
  <si>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</si>
  <si>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</si>
  <si>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</si>
  <si>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</si>
  <si>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</si>
  <si>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</si>
  <si>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</si>
  <si>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</si>
  <si>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</si>
  <si>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</si>
  <si>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</si>
  <si>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</si>
  <si>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</si>
  <si>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</si>
  <si>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</si>
  <si>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</si>
  <si>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</si>
  <si>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</si>
  <si>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</si>
  <si>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</si>
  <si>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</si>
  <si>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</si>
  <si>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</si>
  <si>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</si>
  <si>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</si>
  <si>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</si>
  <si>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</si>
  <si>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</si>
  <si>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</si>
  <si>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</si>
  <si>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</si>
  <si>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</si>
  <si>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</si>
  <si>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</si>
  <si>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</si>
  <si>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</si>
  <si>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</si>
  <si>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</si>
  <si>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</si>
  <si>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</si>
  <si>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</si>
  <si>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</si>
  <si>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</si>
  <si>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</si>
  <si>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</si>
  <si>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</si>
  <si>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</si>
  <si>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</si>
  <si>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</si>
  <si>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</si>
  <si>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</si>
  <si>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</si>
  <si>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</si>
  <si>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</si>
  <si>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</si>
  <si>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</si>
  <si>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</si>
  <si>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</si>
  <si>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</si>
  <si>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</si>
  <si>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</si>
  <si>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</si>
  <si>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</si>
  <si>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</si>
  <si>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</si>
  <si>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</si>
  <si>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</si>
  <si>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</si>
  <si>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</si>
  <si>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</si>
  <si>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</si>
  <si>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</si>
  <si>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</si>
  <si>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</si>
  <si>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</si>
  <si>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</si>
  <si>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</si>
  <si>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</si>
  <si>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</si>
  <si>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</si>
  <si>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</si>
  <si>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</si>
  <si>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</si>
  <si>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</si>
  <si>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</si>
  <si>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</si>
  <si>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</si>
  <si>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</si>
  <si>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</si>
  <si>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</si>
  <si>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</si>
  <si>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</si>
  <si>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</si>
  <si>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</si>
  <si>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</si>
  <si>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</si>
  <si>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</si>
  <si>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</si>
  <si>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</si>
  <si>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</si>
  <si>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</si>
  <si>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</si>
  <si>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</si>
  <si>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</si>
  <si>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</si>
  <si>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</si>
  <si>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</si>
  <si>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</si>
  <si>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</si>
  <si>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</si>
  <si>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</si>
  <si>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</si>
  <si>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</si>
  <si>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</si>
  <si>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</si>
  <si>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</si>
  <si>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</si>
  <si>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</si>
  <si>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</si>
  <si>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</si>
  <si>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</si>
  <si>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</si>
  <si>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</si>
  <si>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</si>
  <si>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</si>
  <si>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</si>
  <si>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</si>
  <si>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</si>
  <si>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</si>
  <si>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</si>
  <si>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</si>
  <si>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</si>
  <si>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</si>
  <si>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</si>
  <si>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</si>
  <si>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</si>
  <si>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</si>
  <si>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</si>
  <si>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</si>
  <si>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</si>
  <si>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</si>
  <si>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</si>
  <si>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</si>
  <si>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</si>
  <si>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</si>
  <si>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</si>
  <si>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</si>
  <si>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</si>
  <si>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</si>
  <si>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</si>
  <si>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</si>
  <si>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</si>
  <si>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</si>
  <si>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</si>
  <si>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</si>
  <si>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</si>
  <si>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</si>
  <si>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</si>
  <si>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</si>
  <si>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</si>
  <si>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</si>
  <si>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</si>
  <si>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</si>
  <si>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</si>
  <si>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</si>
  <si>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</si>
  <si>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</si>
  <si>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</si>
  <si>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</si>
  <si>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</si>
  <si>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</si>
  <si>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</si>
  <si>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</si>
  <si>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</si>
  <si>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</si>
  <si>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</si>
  <si>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</si>
  <si>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</si>
  <si>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</si>
  <si>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</si>
  <si>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</si>
  <si>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</si>
  <si>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</si>
  <si>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</si>
  <si>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</si>
  <si>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</si>
  <si>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</si>
  <si>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</si>
  <si>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</si>
  <si>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</si>
  <si>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</si>
  <si>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</si>
  <si>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</si>
  <si>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</si>
  <si>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</si>
  <si>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</si>
  <si>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</si>
  <si>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</si>
  <si>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</si>
  <si>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</si>
  <si>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</si>
  <si>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</si>
  <si>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</si>
  <si>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</si>
  <si>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</si>
  <si>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</si>
  <si>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</si>
  <si>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</si>
  <si>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</si>
  <si>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</si>
  <si>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</si>
  <si>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</si>
  <si>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</si>
  <si>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</si>
  <si>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</si>
  <si>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</si>
  <si>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</si>
  <si>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</si>
  <si>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</si>
  <si>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</si>
  <si>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</si>
  <si>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</si>
  <si>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</si>
  <si>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</si>
  <si>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</si>
  <si>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</si>
  <si>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</si>
  <si>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</si>
  <si>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</si>
  <si>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</si>
  <si>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</si>
  <si>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</si>
  <si>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</si>
  <si>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</si>
  <si>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</si>
  <si>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</si>
  <si>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</si>
  <si>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</si>
  <si>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</si>
  <si>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</si>
  <si>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</si>
  <si>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</si>
  <si>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</si>
  <si>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</si>
  <si>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</si>
  <si>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</si>
  <si>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</si>
  <si>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</si>
  <si>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</si>
  <si>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</si>
  <si>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</si>
  <si>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</si>
  <si>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</si>
  <si>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</si>
  <si>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</si>
  <si>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</si>
  <si>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</si>
  <si>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</si>
  <si>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</si>
  <si>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</si>
  <si>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</si>
  <si>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</si>
  <si>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</si>
  <si>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</si>
  <si>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</si>
  <si>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</si>
  <si>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</si>
  <si>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</si>
  <si>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</si>
  <si>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</si>
  <si>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</si>
  <si>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</si>
  <si>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</si>
  <si>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</si>
  <si>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</si>
  <si>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</si>
  <si>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</si>
  <si>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</si>
  <si>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</si>
  <si>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</si>
  <si>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</si>
  <si>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</si>
  <si>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</si>
  <si>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</si>
  <si>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</si>
  <si>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</si>
  <si>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</si>
  <si>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</si>
  <si>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</si>
  <si>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</si>
  <si>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</si>
  <si>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</si>
  <si>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</si>
  <si>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</si>
  <si>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</si>
  <si>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</si>
  <si>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</si>
  <si>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</si>
  <si>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</si>
  <si>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</si>
  <si>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</si>
  <si>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</si>
  <si>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</si>
  <si>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</si>
  <si>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</si>
  <si>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</si>
  <si>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</si>
  <si>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</si>
  <si>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</si>
  <si>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</si>
  <si>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</si>
  <si>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</si>
  <si>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</si>
  <si>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</si>
  <si>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</si>
  <si>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</si>
  <si>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</si>
  <si>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</si>
  <si>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</si>
  <si>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</si>
  <si>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</si>
  <si>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</si>
  <si>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</si>
  <si>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</si>
  <si>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</si>
  <si>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</si>
  <si>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</si>
  <si>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</si>
  <si>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</si>
  <si>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</si>
  <si>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</si>
  <si>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</si>
  <si>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</si>
  <si>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</si>
  <si>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</si>
  <si>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</si>
  <si>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</si>
  <si>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</si>
  <si>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</si>
  <si>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</si>
  <si>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</si>
  <si>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</si>
  <si>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</si>
  <si>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</si>
  <si>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</si>
  <si>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</si>
  <si>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</si>
  <si>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</si>
  <si>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</si>
  <si>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</si>
  <si>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</si>
  <si>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</si>
  <si>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</si>
  <si>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</si>
  <si>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</si>
  <si>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</si>
  <si>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</si>
  <si>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</si>
  <si>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</si>
  <si>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</si>
  <si>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</si>
  <si>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</si>
  <si>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</si>
  <si>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</si>
  <si>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</si>
  <si>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</si>
  <si>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</si>
  <si>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</si>
  <si>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</si>
  <si>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</si>
  <si>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</si>
  <si>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</si>
  <si>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</si>
  <si>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</si>
  <si>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</si>
  <si>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</si>
  <si>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</si>
  <si>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</si>
  <si>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</si>
  <si>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</si>
  <si>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</si>
  <si>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</si>
  <si>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</si>
  <si>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</si>
  <si>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</si>
  <si>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</si>
  <si>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</si>
  <si>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</si>
  <si>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</si>
  <si>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</si>
  <si>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</si>
  <si>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</si>
  <si>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</si>
  <si>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</si>
  <si>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</si>
  <si>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</si>
  <si>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</si>
  <si>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</si>
  <si>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</si>
  <si>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</si>
  <si>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</si>
  <si>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</si>
  <si>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</si>
  <si>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</si>
  <si>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</si>
  <si>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</si>
  <si>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</si>
  <si>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</si>
  <si>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</si>
  <si>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</si>
  <si>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</si>
  <si>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</si>
  <si>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</si>
  <si>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</si>
  <si>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</si>
  <si>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</si>
  <si>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</si>
  <si>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</si>
  <si>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</si>
  <si>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</si>
  <si>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</si>
  <si>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</si>
  <si>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</si>
  <si>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</si>
  <si>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</si>
  <si>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</si>
  <si>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</si>
  <si>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</si>
  <si>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</si>
  <si>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</si>
  <si>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</si>
  <si>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</si>
  <si>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</si>
  <si>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</si>
  <si>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</si>
  <si>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</si>
  <si>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</si>
  <si>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</si>
  <si>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</si>
  <si>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</si>
  <si>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</si>
  <si>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</si>
  <si>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</si>
  <si>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</si>
  <si>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</si>
  <si>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</si>
  <si>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</si>
  <si>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</si>
  <si>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</si>
  <si>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</si>
  <si>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</si>
  <si>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</si>
  <si>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</si>
  <si>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</si>
  <si>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</si>
  <si>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</si>
  <si>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</si>
  <si>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</si>
  <si>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</si>
  <si>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</si>
  <si>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</si>
  <si>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</si>
  <si>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</si>
  <si>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</si>
  <si>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</si>
  <si>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</si>
  <si>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</si>
  <si>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</si>
  <si>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</si>
  <si>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</si>
  <si>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</si>
  <si>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</si>
  <si>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</si>
  <si>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</si>
  <si>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</si>
  <si>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</si>
  <si>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</si>
  <si>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</si>
  <si>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</si>
  <si>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</si>
  <si>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</si>
  <si>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</si>
  <si>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</si>
  <si>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</si>
  <si>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</si>
  <si>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</si>
  <si>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</si>
  <si>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</si>
  <si>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</si>
  <si>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</si>
  <si>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</si>
  <si>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</si>
  <si>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</si>
  <si>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</si>
  <si>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</si>
  <si>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</si>
  <si>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</si>
  <si>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</si>
  <si>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</si>
  <si>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</si>
  <si>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</si>
  <si>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</si>
  <si>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</si>
  <si>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</si>
  <si>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</si>
  <si>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</si>
  <si>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</si>
  <si>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</si>
  <si>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</si>
  <si>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</si>
  <si>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</si>
  <si>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</si>
  <si>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</si>
  <si>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</si>
  <si>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</si>
  <si>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</si>
  <si>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</si>
  <si>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</si>
  <si>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</si>
  <si>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</si>
  <si>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</si>
  <si>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</si>
  <si>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</si>
  <si>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</si>
  <si>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</si>
  <si>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</si>
  <si>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</si>
  <si>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</si>
  <si>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</si>
  <si>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</si>
  <si>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</si>
  <si>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</si>
  <si>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</si>
  <si>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</si>
  <si>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</si>
  <si>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</si>
  <si>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</si>
  <si>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</si>
  <si>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</si>
  <si>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</si>
  <si>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</si>
  <si>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</si>
  <si>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</si>
  <si>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</si>
  <si>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</si>
  <si>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</si>
  <si>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</si>
  <si>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</si>
  <si>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</si>
  <si>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</si>
  <si>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</si>
  <si>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</si>
  <si>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</si>
  <si>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</si>
  <si>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</si>
  <si>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</si>
  <si>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</si>
  <si>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</si>
  <si>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</si>
  <si>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</si>
  <si>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</si>
  <si>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</si>
  <si>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</si>
  <si>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</si>
  <si>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</si>
  <si>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</si>
  <si>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</si>
  <si>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</si>
  <si>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</si>
  <si>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</si>
  <si>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</si>
  <si>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</si>
  <si>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</si>
  <si>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</si>
  <si>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</si>
  <si>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</si>
  <si>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</si>
  <si>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</si>
  <si>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</si>
  <si>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</si>
  <si>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</si>
  <si>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</si>
  <si>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</si>
  <si>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</si>
  <si>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</si>
  <si>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</si>
  <si>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</si>
  <si>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</si>
  <si>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</si>
  <si>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</si>
  <si>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</si>
  <si>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</si>
  <si>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</si>
  <si>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</si>
  <si>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</si>
  <si>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</si>
  <si>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</si>
  <si>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</si>
  <si>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</si>
  <si>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</si>
  <si>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</si>
  <si>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</si>
  <si>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</si>
  <si>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</si>
  <si>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</si>
  <si>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</si>
  <si>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</si>
  <si>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</si>
  <si>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</si>
  <si>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</si>
  <si>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</si>
  <si>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</si>
  <si>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</si>
  <si>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</si>
  <si>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</si>
  <si>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</si>
  <si>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</si>
  <si>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</si>
  <si>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</si>
  <si>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</si>
  <si>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</si>
  <si>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</si>
  <si>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</si>
  <si>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</si>
  <si>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</si>
  <si>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</si>
  <si>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</si>
  <si>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</si>
  <si>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</si>
  <si>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</si>
  <si>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</si>
  <si>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</si>
  <si>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</si>
  <si>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</si>
  <si>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</si>
  <si>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</si>
  <si>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</si>
  <si>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</si>
  <si>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</si>
  <si>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</si>
  <si>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</si>
  <si>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</si>
  <si>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</si>
  <si>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</si>
  <si>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</si>
  <si>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</si>
  <si>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</si>
  <si>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</si>
  <si>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</si>
  <si>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</si>
  <si>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</si>
  <si>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</si>
  <si>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</si>
  <si>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</si>
  <si>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</si>
  <si>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</si>
  <si>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</si>
  <si>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</si>
  <si>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</si>
  <si>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</si>
  <si>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</si>
  <si>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</si>
  <si>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</si>
  <si>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</si>
  <si>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</si>
  <si>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</si>
  <si>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</si>
  <si>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</si>
  <si>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</si>
  <si>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</si>
  <si>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</si>
  <si>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</si>
  <si>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</si>
  <si>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</si>
  <si>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</si>
  <si>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</si>
  <si>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</si>
  <si>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</si>
  <si>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</si>
  <si>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</si>
  <si>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</si>
  <si>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</si>
  <si>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</si>
  <si>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</si>
  <si>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</si>
  <si>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</si>
  <si>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</si>
  <si>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</si>
  <si>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</si>
  <si>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</si>
  <si>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</si>
  <si>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</si>
  <si>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</si>
  <si>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</si>
  <si>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</si>
  <si>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</si>
  <si>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</si>
  <si>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</si>
  <si>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</si>
  <si>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</si>
  <si>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</si>
  <si>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</si>
  <si>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</si>
  <si>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</si>
  <si>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</si>
  <si>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</si>
  <si>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</si>
  <si>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</si>
  <si>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</si>
  <si>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</si>
  <si>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</si>
  <si>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</si>
  <si>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</si>
  <si>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</si>
  <si>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</si>
  <si>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</si>
  <si>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</si>
  <si>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</si>
  <si>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</si>
  <si>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</si>
  <si>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</si>
  <si>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</si>
  <si>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</si>
  <si>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</si>
  <si>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</si>
  <si>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22/10/1397  15:12</t>
  </si>
  <si>
    <t>23/10/1397</t>
  </si>
  <si>
    <t>زدشت 339 تا 195</t>
  </si>
  <si>
    <t>زدشت</t>
  </si>
  <si>
    <t>وغدیر 23000 تا 173</t>
  </si>
  <si>
    <t>زدشت 338 تا 195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</si>
  <si>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</si>
  <si>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</si>
  <si>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</si>
  <si>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</si>
  <si>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</si>
  <si>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</si>
  <si>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</si>
  <si>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</si>
  <si>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</si>
  <si>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</si>
  <si>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</si>
  <si>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</si>
  <si>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شفا</t>
  </si>
  <si>
    <t>وبهمن</t>
  </si>
  <si>
    <t>وسکاب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</si>
  <si>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</si>
  <si>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</si>
  <si>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</si>
  <si>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</si>
  <si>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</si>
  <si>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</si>
  <si>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تعداد 65 عدد سکه در بورس علی و 50 سکه در بورس مریم متعلق به صندوق نیست</t>
  </si>
  <si>
    <t>43+50+22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</si>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</sst>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25" workbookViewId="0">
      <selection activeCell="E49" sqref="E49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4622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4626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4636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4643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4656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4664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4664</v>
      </c>
      <c r="B29" s="18">
        <v>-77315</v>
      </c>
      <c r="C29" s="18">
        <v>0</v>
      </c>
      <c r="D29" s="113">
        <f t="shared" si="0"/>
        <v>-77315</v>
      </c>
      <c r="E29" s="19" t="s">
        <v>4672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4539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651350</v>
      </c>
      <c r="C32" s="113">
        <f>SUM(C2:C31)</f>
        <v>0</v>
      </c>
      <c r="D32" s="113">
        <f>SUM(D2:D31)</f>
        <v>651350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340036410</v>
      </c>
      <c r="H33" s="18">
        <f>SUM(H2:H31)</f>
        <v>0</v>
      </c>
      <c r="I33" s="18">
        <f>SUM(I2:I31)</f>
        <v>340036410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4640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4657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4673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93" sqref="F29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1015</v>
      </c>
      <c r="H2" s="36">
        <f>IF(B2&gt;0,1,0)</f>
        <v>1</v>
      </c>
      <c r="I2" s="11">
        <f>B2*(G2-H2)</f>
        <v>16933800</v>
      </c>
      <c r="J2" s="53">
        <f>C2*(G2-H2)</f>
        <v>16933800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1014</v>
      </c>
      <c r="H3" s="36">
        <f t="shared" ref="H3:H66" si="2">IF(B3&gt;0,1,0)</f>
        <v>1</v>
      </c>
      <c r="I3" s="11">
        <f t="shared" ref="I3:I66" si="3">B3*(G3-H3)</f>
        <v>20158700000</v>
      </c>
      <c r="J3" s="53">
        <f t="shared" ref="J3:J66" si="4">C3*(G3-H3)</f>
        <v>11535031000</v>
      </c>
      <c r="K3" s="53">
        <f t="shared" ref="K3:K66" si="5">D3*(G3-H3)</f>
        <v>8623669000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1014</v>
      </c>
      <c r="H4" s="36">
        <f t="shared" si="2"/>
        <v>0</v>
      </c>
      <c r="I4" s="11">
        <f t="shared" si="3"/>
        <v>0</v>
      </c>
      <c r="J4" s="53">
        <f t="shared" si="4"/>
        <v>8619000</v>
      </c>
      <c r="K4" s="53">
        <f t="shared" si="5"/>
        <v>-8619000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1012</v>
      </c>
      <c r="H5" s="36">
        <f t="shared" si="2"/>
        <v>1</v>
      </c>
      <c r="I5" s="11">
        <f t="shared" si="3"/>
        <v>2022000000</v>
      </c>
      <c r="J5" s="53">
        <f t="shared" si="4"/>
        <v>0</v>
      </c>
      <c r="K5" s="53">
        <f t="shared" si="5"/>
        <v>2022000000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1005</v>
      </c>
      <c r="H6" s="36">
        <f t="shared" si="2"/>
        <v>0</v>
      </c>
      <c r="I6" s="11">
        <f t="shared" si="3"/>
        <v>-5025000</v>
      </c>
      <c r="J6" s="53">
        <f t="shared" si="4"/>
        <v>0</v>
      </c>
      <c r="K6" s="53">
        <f t="shared" si="5"/>
        <v>-5025000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1001</v>
      </c>
      <c r="H7" s="36">
        <f t="shared" si="2"/>
        <v>0</v>
      </c>
      <c r="I7" s="11">
        <f t="shared" si="3"/>
        <v>-1201700500</v>
      </c>
      <c r="J7" s="53">
        <f t="shared" si="4"/>
        <v>0</v>
      </c>
      <c r="K7" s="53">
        <f t="shared" si="5"/>
        <v>-1201700500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1000</v>
      </c>
      <c r="H8" s="36">
        <f t="shared" si="2"/>
        <v>0</v>
      </c>
      <c r="I8" s="11">
        <f t="shared" si="3"/>
        <v>-200000000</v>
      </c>
      <c r="J8" s="53">
        <f t="shared" si="4"/>
        <v>0</v>
      </c>
      <c r="K8" s="53">
        <f t="shared" si="5"/>
        <v>-200000000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998</v>
      </c>
      <c r="H9" s="36">
        <f t="shared" si="2"/>
        <v>0</v>
      </c>
      <c r="I9" s="11">
        <f t="shared" si="3"/>
        <v>-704089000</v>
      </c>
      <c r="J9" s="53">
        <f t="shared" si="4"/>
        <v>0</v>
      </c>
      <c r="K9" s="53">
        <f t="shared" si="5"/>
        <v>-704089000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989</v>
      </c>
      <c r="H10" s="36">
        <f t="shared" si="2"/>
        <v>0</v>
      </c>
      <c r="I10" s="11">
        <f t="shared" si="3"/>
        <v>-197800000</v>
      </c>
      <c r="J10" s="53">
        <f t="shared" si="4"/>
        <v>0</v>
      </c>
      <c r="K10" s="53">
        <f t="shared" si="5"/>
        <v>-197800000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989</v>
      </c>
      <c r="H11" s="36">
        <f t="shared" si="2"/>
        <v>1</v>
      </c>
      <c r="I11" s="11">
        <f t="shared" si="3"/>
        <v>988000000</v>
      </c>
      <c r="J11" s="53">
        <f t="shared" si="4"/>
        <v>0</v>
      </c>
      <c r="K11" s="53">
        <f t="shared" si="5"/>
        <v>988000000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985</v>
      </c>
      <c r="H12" s="36">
        <f t="shared" si="2"/>
        <v>0</v>
      </c>
      <c r="I12" s="11">
        <f t="shared" si="3"/>
        <v>-295500000</v>
      </c>
      <c r="J12" s="53">
        <f t="shared" si="4"/>
        <v>0</v>
      </c>
      <c r="K12" s="53">
        <f t="shared" si="5"/>
        <v>-295500000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980</v>
      </c>
      <c r="H13" s="36">
        <f t="shared" si="2"/>
        <v>0</v>
      </c>
      <c r="I13" s="11">
        <f t="shared" si="3"/>
        <v>-60760000</v>
      </c>
      <c r="J13" s="53">
        <f t="shared" si="4"/>
        <v>0</v>
      </c>
      <c r="K13" s="53">
        <f t="shared" si="5"/>
        <v>-60760000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980</v>
      </c>
      <c r="H14" s="36">
        <f t="shared" si="2"/>
        <v>1</v>
      </c>
      <c r="I14" s="11">
        <f t="shared" si="3"/>
        <v>1958000000</v>
      </c>
      <c r="J14" s="53">
        <f t="shared" si="4"/>
        <v>0</v>
      </c>
      <c r="K14" s="53">
        <f t="shared" si="5"/>
        <v>1958000000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979</v>
      </c>
      <c r="H15" s="36">
        <f t="shared" si="2"/>
        <v>1</v>
      </c>
      <c r="I15" s="11">
        <f t="shared" si="3"/>
        <v>1760400000</v>
      </c>
      <c r="J15" s="53">
        <f t="shared" si="4"/>
        <v>0</v>
      </c>
      <c r="K15" s="53">
        <f t="shared" si="5"/>
        <v>1760400000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979</v>
      </c>
      <c r="H16" s="36">
        <f t="shared" si="2"/>
        <v>0</v>
      </c>
      <c r="I16" s="11">
        <f t="shared" si="3"/>
        <v>-195800000</v>
      </c>
      <c r="J16" s="53">
        <f t="shared" si="4"/>
        <v>0</v>
      </c>
      <c r="K16" s="53">
        <f t="shared" si="5"/>
        <v>-195800000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975</v>
      </c>
      <c r="H17" s="36">
        <f t="shared" si="2"/>
        <v>0</v>
      </c>
      <c r="I17" s="11">
        <f t="shared" si="3"/>
        <v>-1950000000</v>
      </c>
      <c r="J17" s="53">
        <f t="shared" si="4"/>
        <v>0</v>
      </c>
      <c r="K17" s="53">
        <f t="shared" si="5"/>
        <v>-1950000000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974</v>
      </c>
      <c r="H18" s="36">
        <f t="shared" si="2"/>
        <v>0</v>
      </c>
      <c r="I18" s="11">
        <f t="shared" si="3"/>
        <v>-292200000</v>
      </c>
      <c r="J18" s="53">
        <f t="shared" si="4"/>
        <v>0</v>
      </c>
      <c r="K18" s="53">
        <f t="shared" si="5"/>
        <v>-292200000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973</v>
      </c>
      <c r="H19" s="36">
        <f t="shared" si="2"/>
        <v>0</v>
      </c>
      <c r="I19" s="11">
        <f t="shared" si="3"/>
        <v>-194600000</v>
      </c>
      <c r="J19" s="53">
        <f t="shared" si="4"/>
        <v>0</v>
      </c>
      <c r="K19" s="53">
        <f t="shared" si="5"/>
        <v>-194600000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971</v>
      </c>
      <c r="H20" s="36">
        <f t="shared" si="2"/>
        <v>1</v>
      </c>
      <c r="I20" s="11">
        <f t="shared" si="3"/>
        <v>262956330</v>
      </c>
      <c r="J20" s="53">
        <f t="shared" si="4"/>
        <v>143028440</v>
      </c>
      <c r="K20" s="53">
        <f t="shared" si="5"/>
        <v>119927890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969</v>
      </c>
      <c r="H21" s="36">
        <f t="shared" si="2"/>
        <v>0</v>
      </c>
      <c r="I21" s="11">
        <f t="shared" si="3"/>
        <v>-1459023300</v>
      </c>
      <c r="J21" s="53">
        <f t="shared" si="4"/>
        <v>0</v>
      </c>
      <c r="K21" s="53">
        <f t="shared" si="5"/>
        <v>-1459023300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966</v>
      </c>
      <c r="H22" s="36">
        <f t="shared" si="2"/>
        <v>1</v>
      </c>
      <c r="I22" s="11">
        <f t="shared" si="3"/>
        <v>2895000000</v>
      </c>
      <c r="J22" s="53">
        <f t="shared" si="4"/>
        <v>0</v>
      </c>
      <c r="K22" s="53">
        <f t="shared" si="5"/>
        <v>2895000000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965</v>
      </c>
      <c r="H23" s="36">
        <f t="shared" si="2"/>
        <v>1</v>
      </c>
      <c r="I23" s="11">
        <f t="shared" si="3"/>
        <v>964000000</v>
      </c>
      <c r="J23" s="53">
        <f t="shared" si="4"/>
        <v>0</v>
      </c>
      <c r="K23" s="53">
        <f t="shared" si="5"/>
        <v>964000000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964</v>
      </c>
      <c r="H24" s="36">
        <f t="shared" si="2"/>
        <v>0</v>
      </c>
      <c r="I24" s="11">
        <f t="shared" si="3"/>
        <v>-2892867600</v>
      </c>
      <c r="J24" s="53">
        <f t="shared" si="4"/>
        <v>0</v>
      </c>
      <c r="K24" s="53">
        <f t="shared" si="5"/>
        <v>-2892867600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949</v>
      </c>
      <c r="H25" s="36">
        <f t="shared" si="2"/>
        <v>1</v>
      </c>
      <c r="I25" s="11">
        <f t="shared" si="3"/>
        <v>1422000000</v>
      </c>
      <c r="J25" s="53">
        <f t="shared" si="4"/>
        <v>0</v>
      </c>
      <c r="K25" s="53">
        <f t="shared" si="5"/>
        <v>1422000000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941</v>
      </c>
      <c r="H26" s="36">
        <f t="shared" si="2"/>
        <v>0</v>
      </c>
      <c r="I26" s="11">
        <f t="shared" si="3"/>
        <v>-154324000</v>
      </c>
      <c r="J26" s="53">
        <f t="shared" si="4"/>
        <v>0</v>
      </c>
      <c r="K26" s="53">
        <f t="shared" si="5"/>
        <v>-154324000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940</v>
      </c>
      <c r="H27" s="36">
        <f t="shared" si="2"/>
        <v>1</v>
      </c>
      <c r="I27" s="11">
        <f t="shared" si="3"/>
        <v>187230027</v>
      </c>
      <c r="J27" s="53">
        <f t="shared" si="4"/>
        <v>100860807</v>
      </c>
      <c r="K27" s="53">
        <f t="shared" si="5"/>
        <v>86369220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938</v>
      </c>
      <c r="H28" s="36">
        <f t="shared" si="2"/>
        <v>0</v>
      </c>
      <c r="I28" s="11">
        <f t="shared" si="3"/>
        <v>-207298000</v>
      </c>
      <c r="J28" s="53">
        <f t="shared" si="4"/>
        <v>-207298000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938</v>
      </c>
      <c r="H29" s="36">
        <f t="shared" si="2"/>
        <v>0</v>
      </c>
      <c r="I29" s="11">
        <f t="shared" si="3"/>
        <v>-469469000</v>
      </c>
      <c r="J29" s="53">
        <f t="shared" si="4"/>
        <v>0</v>
      </c>
      <c r="K29" s="53">
        <f t="shared" si="5"/>
        <v>-469469000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938</v>
      </c>
      <c r="H30" s="36">
        <f t="shared" si="2"/>
        <v>0</v>
      </c>
      <c r="I30" s="11">
        <f t="shared" si="3"/>
        <v>-14070000000</v>
      </c>
      <c r="J30" s="53">
        <f t="shared" si="4"/>
        <v>-14070000000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921</v>
      </c>
      <c r="H31" s="36">
        <f t="shared" si="2"/>
        <v>0</v>
      </c>
      <c r="I31" s="11">
        <f t="shared" si="3"/>
        <v>-2773038900</v>
      </c>
      <c r="J31" s="53">
        <f t="shared" si="4"/>
        <v>0</v>
      </c>
      <c r="K31" s="53">
        <f t="shared" si="5"/>
        <v>-2773038900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919</v>
      </c>
      <c r="H32" s="36">
        <f t="shared" si="2"/>
        <v>0</v>
      </c>
      <c r="I32" s="11">
        <f t="shared" si="3"/>
        <v>-2762422100</v>
      </c>
      <c r="J32" s="53">
        <f t="shared" si="4"/>
        <v>0</v>
      </c>
      <c r="K32" s="53">
        <f t="shared" si="5"/>
        <v>-2762422100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918</v>
      </c>
      <c r="H33" s="36">
        <f t="shared" si="2"/>
        <v>0</v>
      </c>
      <c r="I33" s="11">
        <f t="shared" si="3"/>
        <v>-822069000</v>
      </c>
      <c r="J33" s="53">
        <f t="shared" si="4"/>
        <v>0</v>
      </c>
      <c r="K33" s="53">
        <f t="shared" si="5"/>
        <v>-822069000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918</v>
      </c>
      <c r="H34" s="36">
        <f t="shared" si="2"/>
        <v>0</v>
      </c>
      <c r="I34" s="11">
        <f t="shared" si="3"/>
        <v>0</v>
      </c>
      <c r="J34" s="53">
        <f t="shared" si="4"/>
        <v>918000000</v>
      </c>
      <c r="K34" s="53">
        <f t="shared" si="5"/>
        <v>-918000000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909</v>
      </c>
      <c r="H35" s="36">
        <f t="shared" si="2"/>
        <v>1</v>
      </c>
      <c r="I35" s="11">
        <f t="shared" si="3"/>
        <v>47644576</v>
      </c>
      <c r="J35" s="53">
        <f t="shared" si="4"/>
        <v>-19670004</v>
      </c>
      <c r="K35" s="53">
        <f t="shared" si="5"/>
        <v>67314580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909</v>
      </c>
      <c r="H36" s="36">
        <f t="shared" si="2"/>
        <v>0</v>
      </c>
      <c r="I36" s="11">
        <f t="shared" si="3"/>
        <v>0</v>
      </c>
      <c r="J36" s="53">
        <f t="shared" si="4"/>
        <v>19691667</v>
      </c>
      <c r="K36" s="53">
        <f t="shared" si="5"/>
        <v>-19691667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899</v>
      </c>
      <c r="H37" s="36">
        <f t="shared" si="2"/>
        <v>0</v>
      </c>
      <c r="I37" s="11">
        <f t="shared" si="3"/>
        <v>-49445000</v>
      </c>
      <c r="J37" s="53">
        <f t="shared" si="4"/>
        <v>0</v>
      </c>
      <c r="K37" s="53">
        <f t="shared" si="5"/>
        <v>-49445000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898</v>
      </c>
      <c r="H38" s="36">
        <f t="shared" si="2"/>
        <v>1</v>
      </c>
      <c r="I38" s="11">
        <f t="shared" si="3"/>
        <v>2691000000</v>
      </c>
      <c r="J38" s="53">
        <f t="shared" si="4"/>
        <v>2691000000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897</v>
      </c>
      <c r="H39" s="36">
        <f t="shared" si="2"/>
        <v>1</v>
      </c>
      <c r="I39" s="11">
        <f t="shared" si="3"/>
        <v>2240000000</v>
      </c>
      <c r="J39" s="53">
        <f t="shared" si="4"/>
        <v>2240000000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897</v>
      </c>
      <c r="H40" s="36">
        <f t="shared" si="2"/>
        <v>0</v>
      </c>
      <c r="I40" s="11">
        <f t="shared" si="3"/>
        <v>-44850000</v>
      </c>
      <c r="J40" s="53">
        <f t="shared" si="4"/>
        <v>0</v>
      </c>
      <c r="K40" s="53">
        <f t="shared" si="5"/>
        <v>-44850000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897</v>
      </c>
      <c r="H41" s="36">
        <f t="shared" si="2"/>
        <v>1</v>
      </c>
      <c r="I41" s="11">
        <f t="shared" si="3"/>
        <v>2688000000</v>
      </c>
      <c r="J41" s="53">
        <f t="shared" si="4"/>
        <v>0</v>
      </c>
      <c r="K41" s="53">
        <f t="shared" si="5"/>
        <v>2688000000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894</v>
      </c>
      <c r="H42" s="36">
        <f t="shared" si="2"/>
        <v>0</v>
      </c>
      <c r="I42" s="11">
        <f t="shared" si="3"/>
        <v>-79744800</v>
      </c>
      <c r="J42" s="53">
        <f t="shared" si="4"/>
        <v>0</v>
      </c>
      <c r="K42" s="53">
        <f t="shared" si="5"/>
        <v>-79744800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890</v>
      </c>
      <c r="H43" s="36">
        <f t="shared" si="2"/>
        <v>0</v>
      </c>
      <c r="I43" s="11">
        <f t="shared" si="3"/>
        <v>-178000000</v>
      </c>
      <c r="J43" s="53">
        <f t="shared" si="4"/>
        <v>0</v>
      </c>
      <c r="K43" s="53">
        <f t="shared" si="5"/>
        <v>-178000000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888</v>
      </c>
      <c r="H44" s="36">
        <f t="shared" si="2"/>
        <v>0</v>
      </c>
      <c r="I44" s="11">
        <f t="shared" si="3"/>
        <v>-177600000</v>
      </c>
      <c r="J44" s="53">
        <f t="shared" si="4"/>
        <v>0</v>
      </c>
      <c r="K44" s="53">
        <f t="shared" si="5"/>
        <v>-177600000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888</v>
      </c>
      <c r="H45" s="36">
        <f t="shared" si="2"/>
        <v>0</v>
      </c>
      <c r="I45" s="11">
        <f t="shared" si="3"/>
        <v>-497280000</v>
      </c>
      <c r="J45" s="53">
        <f t="shared" si="4"/>
        <v>0</v>
      </c>
      <c r="K45" s="53">
        <f t="shared" si="5"/>
        <v>-497280000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884</v>
      </c>
      <c r="H46" s="36">
        <f t="shared" si="2"/>
        <v>0</v>
      </c>
      <c r="I46" s="11">
        <f t="shared" si="3"/>
        <v>-623662000</v>
      </c>
      <c r="J46" s="53">
        <f t="shared" si="4"/>
        <v>0</v>
      </c>
      <c r="K46" s="53">
        <f t="shared" si="5"/>
        <v>-623662000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878</v>
      </c>
      <c r="H47" s="36">
        <f t="shared" si="2"/>
        <v>1</v>
      </c>
      <c r="I47" s="11">
        <f t="shared" si="3"/>
        <v>36135908</v>
      </c>
      <c r="J47" s="53">
        <f t="shared" si="4"/>
        <v>5887301</v>
      </c>
      <c r="K47" s="53">
        <f t="shared" si="5"/>
        <v>30248607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878</v>
      </c>
      <c r="H48" s="36">
        <f t="shared" si="2"/>
        <v>1</v>
      </c>
      <c r="I48" s="11">
        <f t="shared" si="3"/>
        <v>1495021900</v>
      </c>
      <c r="J48" s="53">
        <f t="shared" si="4"/>
        <v>0</v>
      </c>
      <c r="K48" s="53">
        <f t="shared" si="5"/>
        <v>1495021900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869</v>
      </c>
      <c r="H49" s="36">
        <f t="shared" si="2"/>
        <v>0</v>
      </c>
      <c r="I49" s="11">
        <f t="shared" si="3"/>
        <v>-134695000</v>
      </c>
      <c r="J49" s="53">
        <f t="shared" si="4"/>
        <v>0</v>
      </c>
      <c r="K49" s="53">
        <f t="shared" si="5"/>
        <v>-134695000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869</v>
      </c>
      <c r="H50" s="36">
        <f t="shared" si="2"/>
        <v>0</v>
      </c>
      <c r="I50" s="11">
        <f t="shared" si="3"/>
        <v>-119922000</v>
      </c>
      <c r="J50" s="53">
        <f t="shared" si="4"/>
        <v>0</v>
      </c>
      <c r="K50" s="53">
        <f t="shared" si="5"/>
        <v>-119922000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869</v>
      </c>
      <c r="H51" s="36">
        <f t="shared" si="2"/>
        <v>0</v>
      </c>
      <c r="I51" s="11">
        <f t="shared" si="3"/>
        <v>-643060000</v>
      </c>
      <c r="J51" s="53">
        <f t="shared" si="4"/>
        <v>0</v>
      </c>
      <c r="K51" s="53">
        <f t="shared" si="5"/>
        <v>-643060000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869</v>
      </c>
      <c r="H52" s="36">
        <f t="shared" si="2"/>
        <v>0</v>
      </c>
      <c r="I52" s="11">
        <f t="shared" si="3"/>
        <v>-173800000</v>
      </c>
      <c r="J52" s="53">
        <f t="shared" si="4"/>
        <v>0</v>
      </c>
      <c r="K52" s="53">
        <f t="shared" si="5"/>
        <v>-173800000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868</v>
      </c>
      <c r="H53" s="36">
        <f t="shared" si="2"/>
        <v>0</v>
      </c>
      <c r="I53" s="11">
        <f t="shared" si="3"/>
        <v>-915740000</v>
      </c>
      <c r="J53" s="53">
        <f t="shared" si="4"/>
        <v>0</v>
      </c>
      <c r="K53" s="53">
        <f t="shared" si="5"/>
        <v>-915740000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868</v>
      </c>
      <c r="H54" s="36">
        <f t="shared" si="2"/>
        <v>0</v>
      </c>
      <c r="I54" s="11">
        <f t="shared" si="3"/>
        <v>-173600000</v>
      </c>
      <c r="J54" s="53">
        <f t="shared" si="4"/>
        <v>0</v>
      </c>
      <c r="K54" s="53">
        <f t="shared" si="5"/>
        <v>-173600000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868</v>
      </c>
      <c r="H55" s="36">
        <f t="shared" si="2"/>
        <v>0</v>
      </c>
      <c r="I55" s="11">
        <f t="shared" si="3"/>
        <v>-868434000</v>
      </c>
      <c r="J55" s="53">
        <f t="shared" si="4"/>
        <v>0</v>
      </c>
      <c r="K55" s="53">
        <f t="shared" si="5"/>
        <v>-868434000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868</v>
      </c>
      <c r="H56" s="36">
        <f t="shared" si="2"/>
        <v>0</v>
      </c>
      <c r="I56" s="11">
        <f t="shared" si="3"/>
        <v>-32984000</v>
      </c>
      <c r="J56" s="53">
        <f t="shared" si="4"/>
        <v>0</v>
      </c>
      <c r="K56" s="53">
        <f t="shared" si="5"/>
        <v>-32984000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868</v>
      </c>
      <c r="H57" s="36">
        <f t="shared" si="2"/>
        <v>0</v>
      </c>
      <c r="I57" s="11">
        <f t="shared" si="3"/>
        <v>-91140000</v>
      </c>
      <c r="J57" s="53">
        <f t="shared" si="4"/>
        <v>0</v>
      </c>
      <c r="K57" s="53">
        <f t="shared" si="5"/>
        <v>-91140000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868</v>
      </c>
      <c r="H58" s="36">
        <f t="shared" si="2"/>
        <v>0</v>
      </c>
      <c r="I58" s="11">
        <f t="shared" si="3"/>
        <v>-52080000</v>
      </c>
      <c r="J58" s="53">
        <f t="shared" si="4"/>
        <v>0</v>
      </c>
      <c r="K58" s="53">
        <f t="shared" si="5"/>
        <v>-52080000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865</v>
      </c>
      <c r="H59" s="36">
        <f t="shared" si="2"/>
        <v>1</v>
      </c>
      <c r="I59" s="11">
        <f t="shared" si="3"/>
        <v>864000000</v>
      </c>
      <c r="J59" s="53">
        <f t="shared" si="4"/>
        <v>864000000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864</v>
      </c>
      <c r="H60" s="36">
        <f t="shared" si="2"/>
        <v>1</v>
      </c>
      <c r="I60" s="11">
        <f t="shared" si="3"/>
        <v>3020500000</v>
      </c>
      <c r="J60" s="53">
        <f t="shared" si="4"/>
        <v>3020500000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862</v>
      </c>
      <c r="H61" s="36">
        <f t="shared" si="2"/>
        <v>1</v>
      </c>
      <c r="I61" s="11">
        <f t="shared" si="3"/>
        <v>861000000</v>
      </c>
      <c r="J61" s="53">
        <f t="shared" si="4"/>
        <v>861000000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862</v>
      </c>
      <c r="H62" s="36">
        <f t="shared" si="2"/>
        <v>1</v>
      </c>
      <c r="I62" s="11">
        <f t="shared" si="3"/>
        <v>2583000000</v>
      </c>
      <c r="J62" s="53">
        <f t="shared" si="4"/>
        <v>2583000000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860</v>
      </c>
      <c r="H63" s="36">
        <f t="shared" si="2"/>
        <v>0</v>
      </c>
      <c r="I63" s="11">
        <f t="shared" si="3"/>
        <v>-172000000</v>
      </c>
      <c r="J63" s="53">
        <f t="shared" si="4"/>
        <v>0</v>
      </c>
      <c r="K63" s="53">
        <f t="shared" si="5"/>
        <v>-172000000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855</v>
      </c>
      <c r="H64" s="36">
        <f t="shared" si="2"/>
        <v>0</v>
      </c>
      <c r="I64" s="11">
        <f t="shared" si="3"/>
        <v>-42750000</v>
      </c>
      <c r="J64" s="53">
        <f t="shared" si="4"/>
        <v>0</v>
      </c>
      <c r="K64" s="53">
        <f t="shared" si="5"/>
        <v>-42750000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851</v>
      </c>
      <c r="H65" s="36">
        <f t="shared" si="2"/>
        <v>0</v>
      </c>
      <c r="I65" s="11">
        <f t="shared" si="3"/>
        <v>-170200000</v>
      </c>
      <c r="J65" s="53">
        <f t="shared" si="4"/>
        <v>0</v>
      </c>
      <c r="K65" s="53">
        <f t="shared" si="5"/>
        <v>-170200000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848</v>
      </c>
      <c r="H66" s="36">
        <f t="shared" si="2"/>
        <v>0</v>
      </c>
      <c r="I66" s="11">
        <f t="shared" si="3"/>
        <v>-144160000</v>
      </c>
      <c r="J66" s="53">
        <f t="shared" si="4"/>
        <v>0</v>
      </c>
      <c r="K66" s="53">
        <f t="shared" si="5"/>
        <v>-144160000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847</v>
      </c>
      <c r="H67" s="36">
        <f t="shared" ref="H67:H131" si="8">IF(B67&gt;0,1,0)</f>
        <v>1</v>
      </c>
      <c r="I67" s="11">
        <f t="shared" ref="I67:I119" si="9">B67*(G67-H67)</f>
        <v>77260950</v>
      </c>
      <c r="J67" s="53">
        <f t="shared" ref="J67:J131" si="10">C67*(G67-H67)</f>
        <v>55601658</v>
      </c>
      <c r="K67" s="53">
        <f t="shared" ref="K67:K131" si="11">D67*(G67-H67)</f>
        <v>21659292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829</v>
      </c>
      <c r="H68" s="36">
        <f t="shared" si="8"/>
        <v>0</v>
      </c>
      <c r="I68" s="11">
        <f t="shared" si="9"/>
        <v>-120205000</v>
      </c>
      <c r="J68" s="53">
        <f t="shared" si="10"/>
        <v>0</v>
      </c>
      <c r="K68" s="53">
        <f t="shared" si="11"/>
        <v>-120205000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822</v>
      </c>
      <c r="H69" s="36">
        <f t="shared" si="8"/>
        <v>1</v>
      </c>
      <c r="I69" s="11">
        <f t="shared" si="9"/>
        <v>804580000</v>
      </c>
      <c r="J69" s="53">
        <f t="shared" si="10"/>
        <v>0</v>
      </c>
      <c r="K69" s="53">
        <f t="shared" si="11"/>
        <v>804580000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819</v>
      </c>
      <c r="H70" s="36">
        <f t="shared" si="8"/>
        <v>0</v>
      </c>
      <c r="I70" s="11">
        <f t="shared" si="9"/>
        <v>-37674000</v>
      </c>
      <c r="J70" s="53">
        <f t="shared" si="10"/>
        <v>0</v>
      </c>
      <c r="K70" s="53">
        <f t="shared" si="11"/>
        <v>-37674000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817</v>
      </c>
      <c r="H71" s="36">
        <f t="shared" si="8"/>
        <v>1</v>
      </c>
      <c r="I71" s="11">
        <f t="shared" si="9"/>
        <v>94115808</v>
      </c>
      <c r="J71" s="53">
        <f t="shared" si="10"/>
        <v>84710592</v>
      </c>
      <c r="K71" s="53">
        <f t="shared" si="11"/>
        <v>9405216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816</v>
      </c>
      <c r="H72" s="36">
        <f t="shared" si="8"/>
        <v>0</v>
      </c>
      <c r="I72" s="11">
        <f t="shared" si="9"/>
        <v>-124006704</v>
      </c>
      <c r="J72" s="53">
        <f t="shared" si="10"/>
        <v>0</v>
      </c>
      <c r="K72" s="53">
        <f t="shared" si="11"/>
        <v>-124006704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815</v>
      </c>
      <c r="H73" s="36">
        <f t="shared" si="8"/>
        <v>0</v>
      </c>
      <c r="I73" s="11">
        <f t="shared" si="9"/>
        <v>-656482500</v>
      </c>
      <c r="J73" s="53">
        <f t="shared" si="10"/>
        <v>0</v>
      </c>
      <c r="K73" s="53">
        <f t="shared" si="11"/>
        <v>-656482500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808</v>
      </c>
      <c r="H74" s="36">
        <f t="shared" si="8"/>
        <v>1</v>
      </c>
      <c r="I74" s="11">
        <f t="shared" si="9"/>
        <v>5644965000</v>
      </c>
      <c r="J74" s="53">
        <f t="shared" si="10"/>
        <v>0</v>
      </c>
      <c r="K74" s="53">
        <f t="shared" si="11"/>
        <v>5644965000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807</v>
      </c>
      <c r="H75" s="36">
        <f t="shared" si="8"/>
        <v>1</v>
      </c>
      <c r="I75" s="11">
        <f t="shared" si="9"/>
        <v>2418000000</v>
      </c>
      <c r="J75" s="53">
        <f t="shared" si="10"/>
        <v>0</v>
      </c>
      <c r="K75" s="53">
        <f t="shared" si="11"/>
        <v>2418000000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805</v>
      </c>
      <c r="H76" s="36">
        <f t="shared" si="8"/>
        <v>1</v>
      </c>
      <c r="I76" s="11">
        <f t="shared" si="9"/>
        <v>2412000000</v>
      </c>
      <c r="J76" s="53">
        <f t="shared" si="10"/>
        <v>0</v>
      </c>
      <c r="K76" s="53">
        <f t="shared" si="11"/>
        <v>2412000000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804</v>
      </c>
      <c r="H77" s="36">
        <f t="shared" si="8"/>
        <v>1</v>
      </c>
      <c r="I77" s="11">
        <f t="shared" si="9"/>
        <v>2409000000</v>
      </c>
      <c r="J77" s="53">
        <f t="shared" si="10"/>
        <v>0</v>
      </c>
      <c r="K77" s="53">
        <f t="shared" si="11"/>
        <v>2409000000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803</v>
      </c>
      <c r="H78" s="36">
        <f t="shared" si="8"/>
        <v>0</v>
      </c>
      <c r="I78" s="11">
        <f t="shared" si="9"/>
        <v>-2569600000</v>
      </c>
      <c r="J78" s="53">
        <f t="shared" si="10"/>
        <v>-2569600000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802</v>
      </c>
      <c r="H79" s="36">
        <f t="shared" si="8"/>
        <v>0</v>
      </c>
      <c r="I79" s="11">
        <f t="shared" si="9"/>
        <v>-641600000</v>
      </c>
      <c r="J79" s="53">
        <f t="shared" si="10"/>
        <v>-641600000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801</v>
      </c>
      <c r="H80" s="36">
        <f t="shared" si="8"/>
        <v>0</v>
      </c>
      <c r="I80" s="11">
        <f t="shared" si="9"/>
        <v>-38762793</v>
      </c>
      <c r="J80" s="53">
        <f t="shared" si="10"/>
        <v>0</v>
      </c>
      <c r="K80" s="53">
        <f t="shared" si="11"/>
        <v>-38762793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800</v>
      </c>
      <c r="H81" s="36">
        <f t="shared" si="8"/>
        <v>0</v>
      </c>
      <c r="I81" s="11">
        <f t="shared" si="9"/>
        <v>-112000000</v>
      </c>
      <c r="J81" s="53">
        <f t="shared" si="10"/>
        <v>0</v>
      </c>
      <c r="K81" s="53">
        <f t="shared" si="11"/>
        <v>-112000000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799</v>
      </c>
      <c r="H82" s="36">
        <f t="shared" si="8"/>
        <v>0</v>
      </c>
      <c r="I82" s="11">
        <f t="shared" si="9"/>
        <v>-199750000</v>
      </c>
      <c r="J82" s="53">
        <f t="shared" si="10"/>
        <v>0</v>
      </c>
      <c r="K82" s="53">
        <f t="shared" si="11"/>
        <v>-199750000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798</v>
      </c>
      <c r="H83" s="36">
        <f t="shared" si="8"/>
        <v>0</v>
      </c>
      <c r="I83" s="11">
        <f t="shared" si="9"/>
        <v>-159600000</v>
      </c>
      <c r="J83" s="53">
        <f t="shared" si="10"/>
        <v>0</v>
      </c>
      <c r="K83" s="53">
        <f t="shared" si="11"/>
        <v>-159600000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795</v>
      </c>
      <c r="H84" s="36">
        <f t="shared" si="8"/>
        <v>1</v>
      </c>
      <c r="I84" s="11">
        <f t="shared" si="9"/>
        <v>1298348800</v>
      </c>
      <c r="J84" s="53">
        <f t="shared" si="10"/>
        <v>0</v>
      </c>
      <c r="K84" s="53">
        <f t="shared" si="11"/>
        <v>1298348800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791</v>
      </c>
      <c r="H85" s="36">
        <f t="shared" si="8"/>
        <v>1</v>
      </c>
      <c r="I85" s="11">
        <f t="shared" si="9"/>
        <v>1975000000</v>
      </c>
      <c r="J85" s="53">
        <f t="shared" si="10"/>
        <v>0</v>
      </c>
      <c r="K85" s="53">
        <f t="shared" si="11"/>
        <v>1975000000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787</v>
      </c>
      <c r="H86" s="36">
        <f t="shared" si="8"/>
        <v>1</v>
      </c>
      <c r="I86" s="11">
        <f t="shared" si="9"/>
        <v>146431800</v>
      </c>
      <c r="J86" s="53">
        <f t="shared" si="10"/>
        <v>66770700</v>
      </c>
      <c r="K86" s="53">
        <f t="shared" si="11"/>
        <v>79661100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784</v>
      </c>
      <c r="H87" s="36">
        <f t="shared" si="8"/>
        <v>0</v>
      </c>
      <c r="I87" s="11">
        <f t="shared" si="9"/>
        <v>-156800000</v>
      </c>
      <c r="J87" s="53">
        <f t="shared" si="10"/>
        <v>0</v>
      </c>
      <c r="K87" s="53">
        <f t="shared" si="11"/>
        <v>-156800000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783</v>
      </c>
      <c r="H88" s="36">
        <f t="shared" si="8"/>
        <v>0</v>
      </c>
      <c r="I88" s="11">
        <f t="shared" si="9"/>
        <v>-92394000</v>
      </c>
      <c r="J88" s="53">
        <f t="shared" si="10"/>
        <v>-54027000</v>
      </c>
      <c r="K88" s="53">
        <f t="shared" si="11"/>
        <v>-38367000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775</v>
      </c>
      <c r="H89" s="36">
        <f t="shared" si="8"/>
        <v>0</v>
      </c>
      <c r="I89" s="11">
        <f t="shared" si="9"/>
        <v>-2480697500</v>
      </c>
      <c r="J89" s="53">
        <f t="shared" si="10"/>
        <v>0</v>
      </c>
      <c r="K89" s="53">
        <f t="shared" si="11"/>
        <v>-2480697500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774</v>
      </c>
      <c r="H90" s="36">
        <f t="shared" si="8"/>
        <v>0</v>
      </c>
      <c r="I90" s="11">
        <f t="shared" si="9"/>
        <v>-2477496600</v>
      </c>
      <c r="J90" s="53">
        <f t="shared" si="10"/>
        <v>0</v>
      </c>
      <c r="K90" s="53">
        <f t="shared" si="11"/>
        <v>-2477496600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773</v>
      </c>
      <c r="H91" s="36">
        <f t="shared" si="8"/>
        <v>0</v>
      </c>
      <c r="I91" s="11">
        <f t="shared" si="9"/>
        <v>-2474295700</v>
      </c>
      <c r="J91" s="53">
        <f t="shared" si="10"/>
        <v>0</v>
      </c>
      <c r="K91" s="53">
        <f t="shared" si="11"/>
        <v>-2474295700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772</v>
      </c>
      <c r="H92" s="36">
        <f t="shared" si="8"/>
        <v>0</v>
      </c>
      <c r="I92" s="11">
        <f t="shared" si="9"/>
        <v>-2471094800</v>
      </c>
      <c r="J92" s="53">
        <f t="shared" si="10"/>
        <v>0</v>
      </c>
      <c r="K92" s="53">
        <f t="shared" si="11"/>
        <v>-2471094800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771</v>
      </c>
      <c r="H93" s="36">
        <f t="shared" si="8"/>
        <v>0</v>
      </c>
      <c r="I93" s="11">
        <f t="shared" si="9"/>
        <v>-2467893900</v>
      </c>
      <c r="J93" s="53">
        <f t="shared" si="10"/>
        <v>0</v>
      </c>
      <c r="K93" s="53">
        <f t="shared" si="11"/>
        <v>-2467893900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770</v>
      </c>
      <c r="H94" s="36">
        <f t="shared" si="8"/>
        <v>0</v>
      </c>
      <c r="I94" s="11">
        <f t="shared" si="9"/>
        <v>-2464693000</v>
      </c>
      <c r="J94" s="53">
        <f t="shared" si="10"/>
        <v>0</v>
      </c>
      <c r="K94" s="53">
        <f t="shared" si="11"/>
        <v>-2464693000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768</v>
      </c>
      <c r="H95" s="36">
        <f t="shared" si="8"/>
        <v>0</v>
      </c>
      <c r="I95" s="11">
        <f t="shared" si="9"/>
        <v>-918985728</v>
      </c>
      <c r="J95" s="53">
        <f t="shared" si="10"/>
        <v>0</v>
      </c>
      <c r="K95" s="53">
        <f t="shared" si="11"/>
        <v>-918985728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758</v>
      </c>
      <c r="H96" s="36">
        <f t="shared" si="8"/>
        <v>0</v>
      </c>
      <c r="I96" s="11">
        <f t="shared" si="9"/>
        <v>-151600000</v>
      </c>
      <c r="J96" s="53">
        <f t="shared" si="10"/>
        <v>0</v>
      </c>
      <c r="K96" s="53">
        <f t="shared" si="11"/>
        <v>-151600000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757</v>
      </c>
      <c r="H97" s="36">
        <f t="shared" si="8"/>
        <v>1</v>
      </c>
      <c r="I97" s="11">
        <f t="shared" si="9"/>
        <v>120625848</v>
      </c>
      <c r="J97" s="53">
        <f t="shared" si="10"/>
        <v>52108056</v>
      </c>
      <c r="K97" s="53">
        <f t="shared" si="11"/>
        <v>68517792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752</v>
      </c>
      <c r="H98" s="36">
        <f t="shared" si="8"/>
        <v>1</v>
      </c>
      <c r="I98" s="11">
        <f t="shared" si="9"/>
        <v>85890368</v>
      </c>
      <c r="J98" s="53">
        <f t="shared" si="10"/>
        <v>0</v>
      </c>
      <c r="K98" s="53">
        <f t="shared" si="11"/>
        <v>85890368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749</v>
      </c>
      <c r="H99" s="36">
        <f t="shared" si="8"/>
        <v>0</v>
      </c>
      <c r="I99" s="11">
        <f t="shared" si="9"/>
        <v>-992425000</v>
      </c>
      <c r="J99" s="53">
        <f t="shared" si="10"/>
        <v>0</v>
      </c>
      <c r="K99" s="53">
        <f t="shared" si="11"/>
        <v>-992425000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744</v>
      </c>
      <c r="H100" s="36">
        <f t="shared" si="8"/>
        <v>1</v>
      </c>
      <c r="I100" s="11">
        <f t="shared" si="9"/>
        <v>984475000</v>
      </c>
      <c r="J100" s="53">
        <f t="shared" si="10"/>
        <v>0</v>
      </c>
      <c r="K100" s="53">
        <f t="shared" si="11"/>
        <v>984475000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727</v>
      </c>
      <c r="H101" s="36">
        <f t="shared" si="8"/>
        <v>1</v>
      </c>
      <c r="I101" s="11">
        <f t="shared" si="9"/>
        <v>48529470</v>
      </c>
      <c r="J101" s="53">
        <f t="shared" si="10"/>
        <v>48529470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724</v>
      </c>
      <c r="H102" s="36">
        <f t="shared" si="8"/>
        <v>1</v>
      </c>
      <c r="I102" s="11">
        <f t="shared" si="9"/>
        <v>2169000000</v>
      </c>
      <c r="J102" s="53">
        <f t="shared" si="10"/>
        <v>0</v>
      </c>
      <c r="K102" s="53">
        <f t="shared" si="11"/>
        <v>2169000000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717</v>
      </c>
      <c r="H103" s="36">
        <f t="shared" si="8"/>
        <v>0</v>
      </c>
      <c r="I103" s="11">
        <f t="shared" si="9"/>
        <v>-717000000</v>
      </c>
      <c r="J103" s="53">
        <f t="shared" si="10"/>
        <v>-717000000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707</v>
      </c>
      <c r="H104" s="36">
        <f t="shared" si="8"/>
        <v>1</v>
      </c>
      <c r="I104" s="11">
        <f t="shared" si="9"/>
        <v>2118000000</v>
      </c>
      <c r="J104" s="53">
        <f t="shared" si="10"/>
        <v>2118000000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706</v>
      </c>
      <c r="H105" s="36">
        <f t="shared" si="8"/>
        <v>1</v>
      </c>
      <c r="I105" s="11">
        <f t="shared" si="9"/>
        <v>789600000</v>
      </c>
      <c r="J105" s="53">
        <f t="shared" si="10"/>
        <v>789600000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706</v>
      </c>
      <c r="H106" s="36">
        <f t="shared" si="8"/>
        <v>0</v>
      </c>
      <c r="I106" s="11">
        <f t="shared" si="9"/>
        <v>-2118000000</v>
      </c>
      <c r="J106" s="53">
        <f t="shared" si="10"/>
        <v>0</v>
      </c>
      <c r="K106" s="53">
        <f t="shared" si="11"/>
        <v>-2118000000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697</v>
      </c>
      <c r="H107" s="36">
        <f t="shared" si="8"/>
        <v>1</v>
      </c>
      <c r="I107" s="11">
        <f t="shared" si="9"/>
        <v>62983824</v>
      </c>
      <c r="J107" s="53">
        <f t="shared" si="10"/>
        <v>52280040</v>
      </c>
      <c r="K107" s="53">
        <f t="shared" si="11"/>
        <v>10703784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695</v>
      </c>
      <c r="H108" s="36">
        <f t="shared" si="8"/>
        <v>0</v>
      </c>
      <c r="I108" s="11">
        <f t="shared" si="9"/>
        <v>-1181986500</v>
      </c>
      <c r="J108" s="53">
        <f t="shared" si="10"/>
        <v>0</v>
      </c>
      <c r="K108" s="53">
        <f t="shared" si="11"/>
        <v>-1181986500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691</v>
      </c>
      <c r="H109" s="36">
        <f t="shared" si="8"/>
        <v>0</v>
      </c>
      <c r="I109" s="11">
        <f t="shared" si="9"/>
        <v>-691345500</v>
      </c>
      <c r="J109" s="53">
        <f t="shared" si="10"/>
        <v>0</v>
      </c>
      <c r="K109" s="53">
        <f t="shared" si="11"/>
        <v>-691345500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688</v>
      </c>
      <c r="H110" s="36">
        <f t="shared" si="8"/>
        <v>1</v>
      </c>
      <c r="I110" s="11">
        <f t="shared" si="9"/>
        <v>13740000000</v>
      </c>
      <c r="J110" s="53">
        <f t="shared" si="10"/>
        <v>0</v>
      </c>
      <c r="K110" s="53">
        <f t="shared" si="11"/>
        <v>13740000000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668</v>
      </c>
      <c r="H111" s="36">
        <f t="shared" si="8"/>
        <v>1</v>
      </c>
      <c r="I111" s="11">
        <f t="shared" si="9"/>
        <v>116510226</v>
      </c>
      <c r="J111" s="53">
        <f t="shared" si="10"/>
        <v>58271121</v>
      </c>
      <c r="K111" s="53">
        <f t="shared" si="11"/>
        <v>58239105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652</v>
      </c>
      <c r="H112" s="36">
        <f t="shared" si="8"/>
        <v>0</v>
      </c>
      <c r="I112" s="11">
        <f t="shared" si="9"/>
        <v>-18516800000</v>
      </c>
      <c r="J112" s="53">
        <f t="shared" si="10"/>
        <v>0</v>
      </c>
      <c r="K112" s="53">
        <f t="shared" si="11"/>
        <v>-18516800000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637</v>
      </c>
      <c r="H113" s="36">
        <f t="shared" si="8"/>
        <v>1</v>
      </c>
      <c r="I113" s="11">
        <f t="shared" si="9"/>
        <v>103693440</v>
      </c>
      <c r="J113" s="53">
        <f t="shared" si="10"/>
        <v>77916996</v>
      </c>
      <c r="K113" s="53">
        <f t="shared" si="11"/>
        <v>25776444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637</v>
      </c>
      <c r="H114" s="36">
        <f t="shared" si="8"/>
        <v>0</v>
      </c>
      <c r="I114" s="11">
        <f t="shared" si="9"/>
        <v>-3630900</v>
      </c>
      <c r="J114" s="53">
        <f t="shared" si="10"/>
        <v>-1592500</v>
      </c>
      <c r="K114" s="53">
        <f t="shared" si="11"/>
        <v>-2038400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624</v>
      </c>
      <c r="H115" s="36">
        <f t="shared" si="8"/>
        <v>0</v>
      </c>
      <c r="I115" s="11">
        <f t="shared" si="9"/>
        <v>0</v>
      </c>
      <c r="J115" s="53">
        <f t="shared" si="10"/>
        <v>312000000</v>
      </c>
      <c r="K115" s="53">
        <f t="shared" si="11"/>
        <v>-312000000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616</v>
      </c>
      <c r="H116" s="36">
        <f t="shared" si="8"/>
        <v>0</v>
      </c>
      <c r="I116" s="11">
        <f t="shared" si="9"/>
        <v>-98560000</v>
      </c>
      <c r="J116" s="53">
        <f t="shared" si="10"/>
        <v>0</v>
      </c>
      <c r="K116" s="53">
        <f t="shared" si="11"/>
        <v>-98560000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607</v>
      </c>
      <c r="H117" s="36">
        <f t="shared" si="8"/>
        <v>1</v>
      </c>
      <c r="I117" s="11">
        <f t="shared" si="9"/>
        <v>896880</v>
      </c>
      <c r="J117" s="53">
        <f t="shared" si="10"/>
        <v>64806246</v>
      </c>
      <c r="K117" s="53">
        <f t="shared" si="11"/>
        <v>-63909366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585</v>
      </c>
      <c r="H118" s="36">
        <f t="shared" si="8"/>
        <v>1</v>
      </c>
      <c r="I118" s="11">
        <f t="shared" si="9"/>
        <v>23009308000</v>
      </c>
      <c r="J118" s="53">
        <f t="shared" si="10"/>
        <v>0</v>
      </c>
      <c r="K118" s="53">
        <f t="shared" si="11"/>
        <v>23009308000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576</v>
      </c>
      <c r="H119" s="36">
        <f t="shared" si="8"/>
        <v>1</v>
      </c>
      <c r="I119" s="11">
        <f t="shared" si="9"/>
        <v>54924575</v>
      </c>
      <c r="J119" s="53">
        <f t="shared" si="10"/>
        <v>63281050</v>
      </c>
      <c r="K119" s="53">
        <f t="shared" si="11"/>
        <v>-8356475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572</v>
      </c>
      <c r="H120" s="11">
        <f t="shared" si="8"/>
        <v>1</v>
      </c>
      <c r="I120" s="11">
        <f t="shared" ref="I120:I298" si="13">B120*(G120-H120)</f>
        <v>1142000000</v>
      </c>
      <c r="J120" s="11">
        <f t="shared" si="10"/>
        <v>0</v>
      </c>
      <c r="K120" s="11">
        <f t="shared" si="11"/>
        <v>1142000000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546</v>
      </c>
      <c r="H121" s="11">
        <f t="shared" si="8"/>
        <v>1</v>
      </c>
      <c r="I121" s="11">
        <f t="shared" si="13"/>
        <v>1417000000</v>
      </c>
      <c r="J121" s="11">
        <f t="shared" si="10"/>
        <v>0</v>
      </c>
      <c r="K121" s="11">
        <f t="shared" si="11"/>
        <v>1417000000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545</v>
      </c>
      <c r="H122" s="11">
        <f t="shared" si="8"/>
        <v>1</v>
      </c>
      <c r="I122" s="11">
        <f t="shared" si="13"/>
        <v>209195744</v>
      </c>
      <c r="J122" s="11">
        <f t="shared" si="10"/>
        <v>60333952</v>
      </c>
      <c r="K122" s="11">
        <f t="shared" si="11"/>
        <v>148861792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544</v>
      </c>
      <c r="H123" s="11">
        <f t="shared" si="8"/>
        <v>0</v>
      </c>
      <c r="I123" s="11">
        <f t="shared" si="13"/>
        <v>0</v>
      </c>
      <c r="J123" s="11">
        <f t="shared" si="10"/>
        <v>435200000</v>
      </c>
      <c r="K123" s="11">
        <f t="shared" si="11"/>
        <v>-435200000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530</v>
      </c>
      <c r="H124" s="11">
        <f t="shared" si="8"/>
        <v>0</v>
      </c>
      <c r="I124" s="11">
        <f t="shared" si="13"/>
        <v>-1590000000</v>
      </c>
      <c r="J124" s="11">
        <f t="shared" si="10"/>
        <v>0</v>
      </c>
      <c r="K124" s="11">
        <f t="shared" si="11"/>
        <v>-1590000000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515</v>
      </c>
      <c r="H125" s="11">
        <f t="shared" si="8"/>
        <v>1</v>
      </c>
      <c r="I125" s="11">
        <f t="shared" si="13"/>
        <v>205964940</v>
      </c>
      <c r="J125" s="11">
        <f t="shared" si="10"/>
        <v>61101750</v>
      </c>
      <c r="K125" s="11">
        <f t="shared" si="11"/>
        <v>144863190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515</v>
      </c>
      <c r="H126" s="11">
        <f t="shared" si="8"/>
        <v>1</v>
      </c>
      <c r="I126" s="11">
        <f t="shared" si="13"/>
        <v>21588000000</v>
      </c>
      <c r="J126" s="11">
        <f t="shared" si="10"/>
        <v>0</v>
      </c>
      <c r="K126" s="11">
        <f t="shared" si="11"/>
        <v>21588000000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490</v>
      </c>
      <c r="H127" s="11">
        <f t="shared" si="8"/>
        <v>0</v>
      </c>
      <c r="I127" s="11">
        <f t="shared" si="13"/>
        <v>-2450000</v>
      </c>
      <c r="J127" s="11">
        <f t="shared" si="10"/>
        <v>0</v>
      </c>
      <c r="K127" s="11">
        <f t="shared" si="11"/>
        <v>-2450000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484</v>
      </c>
      <c r="H128" s="11">
        <f t="shared" si="8"/>
        <v>1</v>
      </c>
      <c r="I128" s="11">
        <f t="shared" si="13"/>
        <v>372573642</v>
      </c>
      <c r="J128" s="11">
        <f t="shared" si="10"/>
        <v>58296651</v>
      </c>
      <c r="K128" s="11">
        <f t="shared" si="11"/>
        <v>314276991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481</v>
      </c>
      <c r="H129" s="11">
        <f t="shared" si="8"/>
        <v>1</v>
      </c>
      <c r="I129" s="11">
        <f t="shared" si="13"/>
        <v>1200000000</v>
      </c>
      <c r="J129" s="11">
        <f t="shared" si="10"/>
        <v>0</v>
      </c>
      <c r="K129" s="11">
        <f t="shared" si="11"/>
        <v>1200000000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467</v>
      </c>
      <c r="H130" s="11">
        <f t="shared" si="8"/>
        <v>0</v>
      </c>
      <c r="I130" s="11">
        <f t="shared" si="13"/>
        <v>-467000000</v>
      </c>
      <c r="J130" s="11">
        <f t="shared" si="10"/>
        <v>-467000000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462</v>
      </c>
      <c r="H131" s="11">
        <f t="shared" si="8"/>
        <v>0</v>
      </c>
      <c r="I131" s="11">
        <f t="shared" si="13"/>
        <v>-23100000000</v>
      </c>
      <c r="J131" s="11">
        <f t="shared" si="10"/>
        <v>0</v>
      </c>
      <c r="K131" s="11">
        <f t="shared" si="11"/>
        <v>-23100000000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454</v>
      </c>
      <c r="H132" s="11">
        <f t="shared" ref="H132:H298" si="15">IF(B132&gt;0,1,0)</f>
        <v>1</v>
      </c>
      <c r="I132" s="11">
        <f t="shared" si="13"/>
        <v>278272011</v>
      </c>
      <c r="J132" s="11">
        <f t="shared" ref="J132:J206" si="16">C132*(G132-H132)</f>
        <v>48004863</v>
      </c>
      <c r="K132" s="11">
        <f t="shared" ref="K132:K298" si="17">D132*(G132-H132)</f>
        <v>230267148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450</v>
      </c>
      <c r="H133" s="11">
        <f t="shared" si="15"/>
        <v>0</v>
      </c>
      <c r="I133" s="11">
        <f t="shared" si="13"/>
        <v>-544815000</v>
      </c>
      <c r="J133" s="11">
        <f t="shared" si="16"/>
        <v>0</v>
      </c>
      <c r="K133" s="11">
        <f t="shared" si="17"/>
        <v>-544815000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441</v>
      </c>
      <c r="H134" s="11">
        <f t="shared" si="15"/>
        <v>0</v>
      </c>
      <c r="I134" s="11">
        <f t="shared" si="13"/>
        <v>-28665000</v>
      </c>
      <c r="J134" s="11">
        <f t="shared" si="16"/>
        <v>0</v>
      </c>
      <c r="K134" s="11">
        <f t="shared" si="17"/>
        <v>-28665000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441</v>
      </c>
      <c r="H135" s="11">
        <f t="shared" si="15"/>
        <v>0</v>
      </c>
      <c r="I135" s="11">
        <f t="shared" si="13"/>
        <v>-14244300</v>
      </c>
      <c r="J135" s="11">
        <f t="shared" si="16"/>
        <v>0</v>
      </c>
      <c r="K135" s="11">
        <f t="shared" si="17"/>
        <v>-14244300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433</v>
      </c>
      <c r="H136" s="11">
        <f t="shared" si="15"/>
        <v>0</v>
      </c>
      <c r="I136" s="11">
        <f t="shared" si="13"/>
        <v>-433000000</v>
      </c>
      <c r="J136" s="11">
        <f t="shared" si="16"/>
        <v>-433000000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424</v>
      </c>
      <c r="H137" s="11">
        <f t="shared" si="15"/>
        <v>1</v>
      </c>
      <c r="I137" s="11">
        <f t="shared" si="13"/>
        <v>123039279</v>
      </c>
      <c r="J137" s="11">
        <f t="shared" si="16"/>
        <v>41182857</v>
      </c>
      <c r="K137" s="11">
        <f t="shared" si="17"/>
        <v>81856422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407</v>
      </c>
      <c r="H138" s="11">
        <f t="shared" si="15"/>
        <v>0</v>
      </c>
      <c r="I138" s="11">
        <f t="shared" si="13"/>
        <v>-407203500</v>
      </c>
      <c r="J138" s="11">
        <f t="shared" si="16"/>
        <v>-407203500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395</v>
      </c>
      <c r="H139" s="11">
        <f t="shared" si="15"/>
        <v>1</v>
      </c>
      <c r="I139" s="11">
        <f t="shared" si="13"/>
        <v>111202560</v>
      </c>
      <c r="J139" s="11">
        <f t="shared" si="16"/>
        <v>34989958</v>
      </c>
      <c r="K139" s="11">
        <f t="shared" si="17"/>
        <v>76212602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392</v>
      </c>
      <c r="H140" s="11">
        <f t="shared" si="15"/>
        <v>1</v>
      </c>
      <c r="I140" s="11">
        <f t="shared" si="13"/>
        <v>586500000</v>
      </c>
      <c r="J140" s="11">
        <f t="shared" si="16"/>
        <v>0</v>
      </c>
      <c r="K140" s="11">
        <f t="shared" si="17"/>
        <v>586500000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379</v>
      </c>
      <c r="H141" s="11">
        <f t="shared" si="15"/>
        <v>0</v>
      </c>
      <c r="I141" s="11">
        <f t="shared" si="13"/>
        <v>0</v>
      </c>
      <c r="J141" s="11">
        <f t="shared" si="16"/>
        <v>-379000000</v>
      </c>
      <c r="K141" s="11">
        <f t="shared" si="17"/>
        <v>379000000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365</v>
      </c>
      <c r="H142" s="11">
        <f t="shared" si="15"/>
        <v>1</v>
      </c>
      <c r="I142" s="11">
        <f t="shared" si="13"/>
        <v>105885052</v>
      </c>
      <c r="J142" s="11">
        <f t="shared" si="16"/>
        <v>29492008</v>
      </c>
      <c r="K142" s="11">
        <f t="shared" si="17"/>
        <v>76393044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345</v>
      </c>
      <c r="H143" s="11">
        <f t="shared" si="15"/>
        <v>0</v>
      </c>
      <c r="I143" s="11">
        <f t="shared" si="13"/>
        <v>0</v>
      </c>
      <c r="J143" s="11">
        <f t="shared" si="16"/>
        <v>-345000000</v>
      </c>
      <c r="K143" s="11">
        <f t="shared" si="17"/>
        <v>345000000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335</v>
      </c>
      <c r="H144" s="11">
        <f t="shared" si="15"/>
        <v>1</v>
      </c>
      <c r="I144" s="11">
        <f t="shared" si="13"/>
        <v>98480568</v>
      </c>
      <c r="J144" s="11">
        <f t="shared" si="16"/>
        <v>24935438</v>
      </c>
      <c r="K144" s="11">
        <f t="shared" si="17"/>
        <v>73545130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320</v>
      </c>
      <c r="H145" s="11">
        <f t="shared" si="15"/>
        <v>0</v>
      </c>
      <c r="I145" s="11">
        <f t="shared" si="13"/>
        <v>-3200000</v>
      </c>
      <c r="J145" s="11">
        <f t="shared" si="16"/>
        <v>-1600000</v>
      </c>
      <c r="K145" s="11">
        <f t="shared" si="17"/>
        <v>-1600000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315</v>
      </c>
      <c r="H146" s="11">
        <f t="shared" si="15"/>
        <v>0</v>
      </c>
      <c r="I146" s="11">
        <f t="shared" si="13"/>
        <v>-315157500</v>
      </c>
      <c r="J146" s="11">
        <f t="shared" si="16"/>
        <v>-315157500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309</v>
      </c>
      <c r="H147" s="11">
        <f t="shared" si="15"/>
        <v>0</v>
      </c>
      <c r="I147" s="11">
        <f t="shared" si="13"/>
        <v>-8343000000</v>
      </c>
      <c r="J147" s="11">
        <f t="shared" si="16"/>
        <v>0</v>
      </c>
      <c r="K147" s="11">
        <f t="shared" si="17"/>
        <v>-8343000000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306</v>
      </c>
      <c r="H148" s="11">
        <f t="shared" si="15"/>
        <v>1</v>
      </c>
      <c r="I148" s="11">
        <f t="shared" si="13"/>
        <v>76992980</v>
      </c>
      <c r="J148" s="11">
        <f t="shared" si="16"/>
        <v>19980550</v>
      </c>
      <c r="K148" s="11">
        <f t="shared" si="17"/>
        <v>57012430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298</v>
      </c>
      <c r="H149" s="11">
        <f t="shared" si="15"/>
        <v>1</v>
      </c>
      <c r="I149" s="11">
        <f t="shared" si="13"/>
        <v>15562800000</v>
      </c>
      <c r="J149" s="11">
        <f t="shared" si="16"/>
        <v>0</v>
      </c>
      <c r="K149" s="11">
        <f t="shared" si="17"/>
        <v>15562800000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291</v>
      </c>
      <c r="H150" s="11">
        <f t="shared" si="15"/>
        <v>0</v>
      </c>
      <c r="I150" s="11">
        <f t="shared" si="13"/>
        <v>-15132000000</v>
      </c>
      <c r="J150" s="11">
        <f t="shared" si="16"/>
        <v>0</v>
      </c>
      <c r="K150" s="11">
        <f t="shared" si="17"/>
        <v>-15132000000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286</v>
      </c>
      <c r="H151" s="99">
        <f t="shared" si="15"/>
        <v>0</v>
      </c>
      <c r="I151" s="99">
        <f t="shared" si="13"/>
        <v>-2288000000</v>
      </c>
      <c r="J151" s="99">
        <f t="shared" si="16"/>
        <v>-1936829466</v>
      </c>
      <c r="K151" s="11">
        <f t="shared" si="17"/>
        <v>-351170534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286</v>
      </c>
      <c r="H152" s="99">
        <f t="shared" si="15"/>
        <v>0</v>
      </c>
      <c r="I152" s="99">
        <f t="shared" si="13"/>
        <v>-8931780</v>
      </c>
      <c r="J152" s="99">
        <f t="shared" si="16"/>
        <v>0</v>
      </c>
      <c r="K152" s="99">
        <f t="shared" si="17"/>
        <v>-8931780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275</v>
      </c>
      <c r="H153" s="99">
        <f t="shared" si="15"/>
        <v>1</v>
      </c>
      <c r="I153" s="99">
        <f t="shared" si="13"/>
        <v>37013838</v>
      </c>
      <c r="J153" s="99">
        <f t="shared" si="16"/>
        <v>11269620</v>
      </c>
      <c r="K153" s="99">
        <f t="shared" si="17"/>
        <v>25744218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272</v>
      </c>
      <c r="H154" s="99">
        <f t="shared" si="15"/>
        <v>1</v>
      </c>
      <c r="I154" s="99">
        <f t="shared" si="13"/>
        <v>1849326222</v>
      </c>
      <c r="J154" s="99">
        <f t="shared" si="16"/>
        <v>1849326222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267</v>
      </c>
      <c r="H155" s="99">
        <f t="shared" si="15"/>
        <v>0</v>
      </c>
      <c r="I155" s="99">
        <f t="shared" si="13"/>
        <v>-53400000</v>
      </c>
      <c r="J155" s="99">
        <f t="shared" si="16"/>
        <v>0</v>
      </c>
      <c r="K155" s="99">
        <f t="shared" si="17"/>
        <v>-53400000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267</v>
      </c>
      <c r="H156" s="99">
        <f t="shared" si="15"/>
        <v>0</v>
      </c>
      <c r="I156" s="99">
        <f t="shared" si="13"/>
        <v>-66173280</v>
      </c>
      <c r="J156" s="99">
        <f t="shared" si="16"/>
        <v>0</v>
      </c>
      <c r="K156" s="99">
        <f t="shared" si="17"/>
        <v>-66173280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266</v>
      </c>
      <c r="H157" s="99">
        <f t="shared" si="15"/>
        <v>0</v>
      </c>
      <c r="I157" s="99">
        <f t="shared" si="13"/>
        <v>-43182440</v>
      </c>
      <c r="J157" s="99">
        <f t="shared" si="16"/>
        <v>0</v>
      </c>
      <c r="K157" s="99">
        <f t="shared" si="17"/>
        <v>-43182440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266</v>
      </c>
      <c r="H158" s="99">
        <f t="shared" si="15"/>
        <v>0</v>
      </c>
      <c r="I158" s="99">
        <f t="shared" si="13"/>
        <v>-798239400</v>
      </c>
      <c r="J158" s="99">
        <f t="shared" si="16"/>
        <v>0</v>
      </c>
      <c r="K158" s="99">
        <f t="shared" si="17"/>
        <v>-798239400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264</v>
      </c>
      <c r="H159" s="99">
        <f t="shared" si="15"/>
        <v>0</v>
      </c>
      <c r="I159" s="99">
        <f t="shared" si="13"/>
        <v>-264132000</v>
      </c>
      <c r="J159" s="99">
        <f t="shared" si="16"/>
        <v>0</v>
      </c>
      <c r="K159" s="99">
        <f t="shared" si="17"/>
        <v>-264132000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260</v>
      </c>
      <c r="H160" s="99">
        <f t="shared" si="15"/>
        <v>0</v>
      </c>
      <c r="I160" s="99">
        <f t="shared" si="13"/>
        <v>-26000000</v>
      </c>
      <c r="J160" s="99">
        <f t="shared" si="16"/>
        <v>0</v>
      </c>
      <c r="K160" s="99">
        <f t="shared" si="17"/>
        <v>-26000000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259</v>
      </c>
      <c r="H161" s="99">
        <f t="shared" si="15"/>
        <v>0</v>
      </c>
      <c r="I161" s="99">
        <f t="shared" si="13"/>
        <v>-518000000</v>
      </c>
      <c r="J161" s="99">
        <f t="shared" si="16"/>
        <v>0</v>
      </c>
      <c r="K161" s="99">
        <f t="shared" si="17"/>
        <v>-518000000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259</v>
      </c>
      <c r="H162" s="99">
        <f t="shared" si="15"/>
        <v>0</v>
      </c>
      <c r="I162" s="99">
        <f t="shared" si="13"/>
        <v>-259129500</v>
      </c>
      <c r="J162" s="99">
        <f t="shared" si="16"/>
        <v>0</v>
      </c>
      <c r="K162" s="99">
        <f t="shared" si="17"/>
        <v>-259129500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256</v>
      </c>
      <c r="H163" s="99">
        <f t="shared" si="15"/>
        <v>0</v>
      </c>
      <c r="I163" s="99">
        <f t="shared" si="13"/>
        <v>-1280000</v>
      </c>
      <c r="J163" s="99">
        <f t="shared" si="16"/>
        <v>0</v>
      </c>
      <c r="K163" s="99">
        <f t="shared" si="17"/>
        <v>-1280000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246</v>
      </c>
      <c r="H164" s="99">
        <f t="shared" si="15"/>
        <v>1</v>
      </c>
      <c r="I164" s="99">
        <f t="shared" si="13"/>
        <v>735000000</v>
      </c>
      <c r="J164" s="99">
        <f t="shared" si="16"/>
        <v>0</v>
      </c>
      <c r="K164" s="99">
        <f t="shared" si="17"/>
        <v>735000000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245</v>
      </c>
      <c r="H165" s="99">
        <f t="shared" si="15"/>
        <v>1</v>
      </c>
      <c r="I165" s="99">
        <f t="shared" si="13"/>
        <v>732000000</v>
      </c>
      <c r="J165" s="99">
        <f t="shared" si="16"/>
        <v>0</v>
      </c>
      <c r="K165" s="99">
        <f t="shared" si="17"/>
        <v>732000000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244</v>
      </c>
      <c r="H166" s="99">
        <f t="shared" si="15"/>
        <v>1</v>
      </c>
      <c r="I166" s="99">
        <f t="shared" si="13"/>
        <v>4936302</v>
      </c>
      <c r="J166" s="99">
        <f t="shared" si="16"/>
        <v>14541606</v>
      </c>
      <c r="K166" s="99">
        <f t="shared" si="17"/>
        <v>-9605304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239</v>
      </c>
      <c r="H167" s="99">
        <f t="shared" si="15"/>
        <v>0</v>
      </c>
      <c r="I167" s="99">
        <f t="shared" si="13"/>
        <v>-717215100</v>
      </c>
      <c r="J167" s="99">
        <f t="shared" si="16"/>
        <v>0</v>
      </c>
      <c r="K167" s="99">
        <f t="shared" si="17"/>
        <v>-717215100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221</v>
      </c>
      <c r="H168" s="99">
        <f t="shared" si="15"/>
        <v>0</v>
      </c>
      <c r="I168" s="99">
        <f t="shared" si="13"/>
        <v>-663198900</v>
      </c>
      <c r="J168" s="99">
        <f t="shared" si="16"/>
        <v>0</v>
      </c>
      <c r="K168" s="99">
        <f t="shared" si="17"/>
        <v>-663198900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213</v>
      </c>
      <c r="H169" s="99">
        <f t="shared" si="15"/>
        <v>1</v>
      </c>
      <c r="I169" s="99">
        <f t="shared" si="13"/>
        <v>4601460</v>
      </c>
      <c r="J169" s="99">
        <f t="shared" si="16"/>
        <v>14525180</v>
      </c>
      <c r="K169" s="99">
        <f t="shared" si="17"/>
        <v>-9923720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189</v>
      </c>
      <c r="H170" s="99">
        <f t="shared" si="15"/>
        <v>1</v>
      </c>
      <c r="I170" s="99">
        <f t="shared" si="13"/>
        <v>940000000</v>
      </c>
      <c r="J170" s="99">
        <f t="shared" si="16"/>
        <v>0</v>
      </c>
      <c r="K170" s="99">
        <f t="shared" si="17"/>
        <v>940000000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188</v>
      </c>
      <c r="H171" s="99">
        <f t="shared" si="15"/>
        <v>0</v>
      </c>
      <c r="I171" s="99">
        <f t="shared" si="13"/>
        <v>-940000000</v>
      </c>
      <c r="J171" s="99">
        <f t="shared" si="16"/>
        <v>0</v>
      </c>
      <c r="K171" s="99">
        <f t="shared" si="17"/>
        <v>-940000000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182</v>
      </c>
      <c r="H172" s="99">
        <f t="shared" si="15"/>
        <v>1</v>
      </c>
      <c r="I172" s="99">
        <f t="shared" si="13"/>
        <v>89776</v>
      </c>
      <c r="J172" s="99">
        <f t="shared" si="16"/>
        <v>11345261</v>
      </c>
      <c r="K172" s="99">
        <f t="shared" si="17"/>
        <v>-11255485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181</v>
      </c>
      <c r="H173" s="99">
        <f t="shared" si="15"/>
        <v>1</v>
      </c>
      <c r="I173" s="99">
        <f t="shared" si="13"/>
        <v>141300000</v>
      </c>
      <c r="J173" s="99">
        <f t="shared" si="16"/>
        <v>0</v>
      </c>
      <c r="K173" s="99">
        <f t="shared" si="17"/>
        <v>141300000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170</v>
      </c>
      <c r="H174" s="99">
        <f t="shared" si="15"/>
        <v>0</v>
      </c>
      <c r="I174" s="99">
        <f t="shared" si="13"/>
        <v>-5440000</v>
      </c>
      <c r="J174" s="99">
        <f t="shared" si="16"/>
        <v>0</v>
      </c>
      <c r="K174" s="99">
        <f t="shared" si="17"/>
        <v>-5440000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168</v>
      </c>
      <c r="H175" s="99">
        <f t="shared" si="15"/>
        <v>0</v>
      </c>
      <c r="I175" s="99">
        <f t="shared" si="13"/>
        <v>-126000000</v>
      </c>
      <c r="J175" s="99">
        <f t="shared" si="16"/>
        <v>0</v>
      </c>
      <c r="K175" s="99">
        <f t="shared" si="17"/>
        <v>-126000000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159</v>
      </c>
      <c r="H176" s="99">
        <f t="shared" si="15"/>
        <v>0</v>
      </c>
      <c r="I176" s="99">
        <f t="shared" si="13"/>
        <v>-1493964</v>
      </c>
      <c r="J176" s="99">
        <f t="shared" si="16"/>
        <v>0</v>
      </c>
      <c r="K176" s="99">
        <f t="shared" si="17"/>
        <v>-1493964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158</v>
      </c>
      <c r="H177" s="99">
        <f t="shared" si="15"/>
        <v>0</v>
      </c>
      <c r="I177" s="99">
        <f t="shared" si="13"/>
        <v>-6841400</v>
      </c>
      <c r="J177" s="99">
        <f t="shared" si="16"/>
        <v>0</v>
      </c>
      <c r="K177" s="99">
        <f t="shared" si="17"/>
        <v>-6841400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155</v>
      </c>
      <c r="H178" s="99">
        <f t="shared" si="15"/>
        <v>1</v>
      </c>
      <c r="I178" s="99">
        <f t="shared" si="13"/>
        <v>55440000</v>
      </c>
      <c r="J178" s="99">
        <f t="shared" si="16"/>
        <v>0</v>
      </c>
      <c r="K178" s="99">
        <f t="shared" si="17"/>
        <v>55440000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153</v>
      </c>
      <c r="H179" s="99">
        <f t="shared" si="15"/>
        <v>1</v>
      </c>
      <c r="I179" s="99">
        <f t="shared" si="13"/>
        <v>456000000</v>
      </c>
      <c r="J179" s="99">
        <f t="shared" si="16"/>
        <v>0</v>
      </c>
      <c r="K179" s="99">
        <f t="shared" si="17"/>
        <v>456000000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153</v>
      </c>
      <c r="H180" s="99">
        <f t="shared" si="15"/>
        <v>0</v>
      </c>
      <c r="I180" s="99">
        <f t="shared" si="13"/>
        <v>-1843650</v>
      </c>
      <c r="J180" s="99">
        <f t="shared" si="16"/>
        <v>0</v>
      </c>
      <c r="K180" s="99">
        <f t="shared" si="17"/>
        <v>-1843650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151</v>
      </c>
      <c r="H181" s="99">
        <f t="shared" si="15"/>
        <v>1</v>
      </c>
      <c r="I181" s="99">
        <f t="shared" si="13"/>
        <v>450000000</v>
      </c>
      <c r="J181" s="99">
        <f t="shared" si="16"/>
        <v>0</v>
      </c>
      <c r="K181" s="99">
        <f t="shared" si="17"/>
        <v>450000000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149</v>
      </c>
      <c r="H182" s="99">
        <f t="shared" si="15"/>
        <v>0</v>
      </c>
      <c r="I182" s="99">
        <f t="shared" si="13"/>
        <v>-5334200</v>
      </c>
      <c r="J182" s="99">
        <f t="shared" si="16"/>
        <v>0</v>
      </c>
      <c r="K182" s="99">
        <f t="shared" si="17"/>
        <v>-5334200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148</v>
      </c>
      <c r="H183" s="99">
        <f t="shared" si="15"/>
        <v>1</v>
      </c>
      <c r="I183" s="99">
        <f t="shared" si="13"/>
        <v>529200000</v>
      </c>
      <c r="J183" s="99">
        <f t="shared" si="16"/>
        <v>0</v>
      </c>
      <c r="K183" s="99">
        <f t="shared" si="17"/>
        <v>529200000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148</v>
      </c>
      <c r="H184" s="99">
        <f t="shared" si="15"/>
        <v>0</v>
      </c>
      <c r="I184" s="99">
        <f t="shared" si="13"/>
        <v>-4939796</v>
      </c>
      <c r="J184" s="99">
        <f t="shared" si="16"/>
        <v>0</v>
      </c>
      <c r="K184" s="99">
        <f t="shared" si="17"/>
        <v>-4939796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145</v>
      </c>
      <c r="H185" s="99">
        <f t="shared" si="15"/>
        <v>0</v>
      </c>
      <c r="I185" s="99">
        <f t="shared" si="13"/>
        <v>-1421000000</v>
      </c>
      <c r="J185" s="99">
        <f t="shared" si="16"/>
        <v>0</v>
      </c>
      <c r="K185" s="99">
        <f t="shared" si="17"/>
        <v>-1421000000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145</v>
      </c>
      <c r="H186" s="99">
        <f t="shared" si="15"/>
        <v>1</v>
      </c>
      <c r="I186" s="99">
        <f t="shared" si="13"/>
        <v>2592000000</v>
      </c>
      <c r="J186" s="99">
        <f t="shared" si="16"/>
        <v>0</v>
      </c>
      <c r="K186" s="99">
        <f t="shared" si="17"/>
        <v>2592000000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145</v>
      </c>
      <c r="H187" s="99">
        <f t="shared" si="15"/>
        <v>0</v>
      </c>
      <c r="I187" s="99">
        <f t="shared" si="13"/>
        <v>-1305000000</v>
      </c>
      <c r="J187" s="99">
        <f t="shared" si="16"/>
        <v>0</v>
      </c>
      <c r="K187" s="99">
        <f t="shared" si="17"/>
        <v>-1305000000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145</v>
      </c>
      <c r="H188" s="99">
        <f t="shared" si="15"/>
        <v>0</v>
      </c>
      <c r="I188" s="99">
        <f t="shared" si="13"/>
        <v>-1682000</v>
      </c>
      <c r="J188" s="99">
        <f t="shared" si="16"/>
        <v>0</v>
      </c>
      <c r="K188" s="99">
        <f t="shared" si="17"/>
        <v>-1682000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145</v>
      </c>
      <c r="H189" s="99">
        <f t="shared" si="15"/>
        <v>0</v>
      </c>
      <c r="I189" s="99">
        <f t="shared" si="13"/>
        <v>-479127415</v>
      </c>
      <c r="J189" s="99">
        <f t="shared" si="16"/>
        <v>0</v>
      </c>
      <c r="K189" s="99">
        <f t="shared" si="17"/>
        <v>-479127415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144</v>
      </c>
      <c r="H190" s="99">
        <f t="shared" si="15"/>
        <v>0</v>
      </c>
      <c r="I190" s="99">
        <f t="shared" si="13"/>
        <v>-432129600</v>
      </c>
      <c r="J190" s="99">
        <f t="shared" si="16"/>
        <v>0</v>
      </c>
      <c r="K190" s="99">
        <f t="shared" si="17"/>
        <v>-432129600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143</v>
      </c>
      <c r="H191" s="99">
        <f t="shared" si="15"/>
        <v>0</v>
      </c>
      <c r="I191" s="99">
        <f t="shared" si="13"/>
        <v>-394808700</v>
      </c>
      <c r="J191" s="99">
        <f t="shared" si="16"/>
        <v>0</v>
      </c>
      <c r="K191" s="99">
        <f t="shared" si="17"/>
        <v>-394808700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138</v>
      </c>
      <c r="H192" s="99">
        <f t="shared" si="15"/>
        <v>1</v>
      </c>
      <c r="I192" s="99">
        <f t="shared" si="13"/>
        <v>137000000</v>
      </c>
      <c r="J192" s="99">
        <f t="shared" si="16"/>
        <v>0</v>
      </c>
      <c r="K192" s="99">
        <f t="shared" si="17"/>
        <v>137000000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137</v>
      </c>
      <c r="H193" s="99">
        <f t="shared" si="15"/>
        <v>0</v>
      </c>
      <c r="I193" s="99">
        <f t="shared" si="13"/>
        <v>-2055000</v>
      </c>
      <c r="J193" s="99">
        <f t="shared" si="16"/>
        <v>0</v>
      </c>
      <c r="K193" s="99">
        <f t="shared" si="17"/>
        <v>-2055000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135</v>
      </c>
      <c r="H194" s="99">
        <f t="shared" si="15"/>
        <v>0</v>
      </c>
      <c r="I194" s="99">
        <f t="shared" si="13"/>
        <v>-133650000</v>
      </c>
      <c r="J194" s="99">
        <f t="shared" si="16"/>
        <v>0</v>
      </c>
      <c r="K194" s="99">
        <f t="shared" si="17"/>
        <v>-133650000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135</v>
      </c>
      <c r="H195" s="99">
        <f t="shared" si="15"/>
        <v>1</v>
      </c>
      <c r="I195" s="99">
        <f t="shared" si="13"/>
        <v>104922000</v>
      </c>
      <c r="J195" s="99">
        <f t="shared" si="16"/>
        <v>0</v>
      </c>
      <c r="K195" s="99">
        <f t="shared" si="17"/>
        <v>104922000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133</v>
      </c>
      <c r="H196" s="99">
        <f t="shared" si="15"/>
        <v>0</v>
      </c>
      <c r="I196" s="99">
        <f t="shared" si="13"/>
        <v>-99816500</v>
      </c>
      <c r="J196" s="99">
        <f t="shared" si="16"/>
        <v>0</v>
      </c>
      <c r="K196" s="99">
        <f t="shared" si="17"/>
        <v>-99816500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131</v>
      </c>
      <c r="H197" s="99">
        <f t="shared" si="15"/>
        <v>1</v>
      </c>
      <c r="I197" s="99">
        <f t="shared" si="13"/>
        <v>91000000</v>
      </c>
      <c r="J197" s="99">
        <f t="shared" si="16"/>
        <v>0</v>
      </c>
      <c r="K197" s="99">
        <f t="shared" si="17"/>
        <v>91000000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131</v>
      </c>
      <c r="H198" s="99">
        <f t="shared" si="15"/>
        <v>0</v>
      </c>
      <c r="I198" s="99">
        <f t="shared" si="13"/>
        <v>-12969000</v>
      </c>
      <c r="J198" s="99">
        <f t="shared" si="16"/>
        <v>0</v>
      </c>
      <c r="K198" s="99">
        <f t="shared" si="17"/>
        <v>-12969000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130</v>
      </c>
      <c r="H199" s="99">
        <f t="shared" si="15"/>
        <v>0</v>
      </c>
      <c r="I199" s="99">
        <f t="shared" si="13"/>
        <v>-26747500</v>
      </c>
      <c r="J199" s="99">
        <f t="shared" si="16"/>
        <v>0</v>
      </c>
      <c r="K199" s="99">
        <f t="shared" si="17"/>
        <v>-26747500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130</v>
      </c>
      <c r="H200" s="99">
        <f t="shared" si="15"/>
        <v>0</v>
      </c>
      <c r="I200" s="99">
        <f t="shared" si="13"/>
        <v>-12350000</v>
      </c>
      <c r="J200" s="99">
        <f t="shared" si="16"/>
        <v>0</v>
      </c>
      <c r="K200" s="99">
        <f t="shared" si="17"/>
        <v>-12350000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127</v>
      </c>
      <c r="H201" s="99">
        <f t="shared" si="15"/>
        <v>1</v>
      </c>
      <c r="I201" s="99">
        <f t="shared" si="13"/>
        <v>6129900000</v>
      </c>
      <c r="J201" s="99">
        <f t="shared" si="16"/>
        <v>0</v>
      </c>
      <c r="K201" s="99">
        <f t="shared" si="17"/>
        <v>6129900000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127</v>
      </c>
      <c r="H202" s="99">
        <f t="shared" si="15"/>
        <v>0</v>
      </c>
      <c r="I202" s="99">
        <f t="shared" si="13"/>
        <v>-381114300</v>
      </c>
      <c r="J202" s="99">
        <f t="shared" si="16"/>
        <v>0</v>
      </c>
      <c r="K202" s="99">
        <f t="shared" si="17"/>
        <v>-381114300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127</v>
      </c>
      <c r="H203" s="99">
        <f t="shared" si="15"/>
        <v>0</v>
      </c>
      <c r="I203" s="99">
        <f t="shared" si="13"/>
        <v>-635000</v>
      </c>
      <c r="J203" s="99">
        <f t="shared" si="16"/>
        <v>0</v>
      </c>
      <c r="K203" s="99">
        <f t="shared" si="17"/>
        <v>-635000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127</v>
      </c>
      <c r="H204" s="99">
        <f t="shared" si="15"/>
        <v>0</v>
      </c>
      <c r="I204" s="99">
        <f t="shared" si="13"/>
        <v>-4254500000</v>
      </c>
      <c r="J204" s="99">
        <f t="shared" si="16"/>
        <v>0</v>
      </c>
      <c r="K204" s="99">
        <f t="shared" si="17"/>
        <v>-4254500000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126</v>
      </c>
      <c r="H205" s="99">
        <f t="shared" si="15"/>
        <v>0</v>
      </c>
      <c r="I205" s="99">
        <f t="shared" si="13"/>
        <v>-1566810000</v>
      </c>
      <c r="J205" s="99">
        <f t="shared" si="16"/>
        <v>0</v>
      </c>
      <c r="K205" s="99">
        <f t="shared" si="17"/>
        <v>-1566810000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123</v>
      </c>
      <c r="H206" s="99">
        <f t="shared" si="15"/>
        <v>0</v>
      </c>
      <c r="I206" s="99">
        <f t="shared" si="13"/>
        <v>-2275500</v>
      </c>
      <c r="J206" s="99">
        <f t="shared" si="16"/>
        <v>0</v>
      </c>
      <c r="K206" s="99">
        <f t="shared" si="17"/>
        <v>-2275500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121</v>
      </c>
      <c r="H207" s="99">
        <f t="shared" si="15"/>
        <v>1</v>
      </c>
      <c r="I207" s="99">
        <f t="shared" si="13"/>
        <v>1737600</v>
      </c>
      <c r="J207" s="99">
        <f t="shared" ref="J207:J298" si="20">C207*(G207-H207)</f>
        <v>8504880</v>
      </c>
      <c r="K207" s="99">
        <f t="shared" si="17"/>
        <v>-6767280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120</v>
      </c>
      <c r="H208" s="99">
        <f t="shared" si="15"/>
        <v>1</v>
      </c>
      <c r="I208" s="99">
        <f t="shared" si="13"/>
        <v>98770000</v>
      </c>
      <c r="J208" s="99">
        <f t="shared" si="20"/>
        <v>0</v>
      </c>
      <c r="K208" s="99">
        <f t="shared" si="17"/>
        <v>98770000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118</v>
      </c>
      <c r="H209" s="99">
        <f t="shared" si="15"/>
        <v>0</v>
      </c>
      <c r="I209" s="99">
        <f t="shared" si="13"/>
        <v>-6187920</v>
      </c>
      <c r="J209" s="99">
        <f t="shared" si="20"/>
        <v>0</v>
      </c>
      <c r="K209" s="99">
        <f t="shared" si="17"/>
        <v>-6187920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117</v>
      </c>
      <c r="H210" s="99">
        <f t="shared" si="15"/>
        <v>0</v>
      </c>
      <c r="I210" s="99">
        <f t="shared" si="13"/>
        <v>-5978700</v>
      </c>
      <c r="J210" s="99">
        <f t="shared" si="20"/>
        <v>0</v>
      </c>
      <c r="K210" s="99">
        <f t="shared" si="17"/>
        <v>-5978700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116</v>
      </c>
      <c r="H211" s="99">
        <f t="shared" si="15"/>
        <v>0</v>
      </c>
      <c r="I211" s="99">
        <f t="shared" si="13"/>
        <v>-23200000</v>
      </c>
      <c r="J211" s="99">
        <f t="shared" si="20"/>
        <v>0</v>
      </c>
      <c r="K211" s="99">
        <f t="shared" si="17"/>
        <v>-23200000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115</v>
      </c>
      <c r="H212" s="99">
        <f t="shared" si="15"/>
        <v>0</v>
      </c>
      <c r="I212" s="99">
        <f t="shared" si="13"/>
        <v>-3220000</v>
      </c>
      <c r="J212" s="99">
        <f t="shared" si="20"/>
        <v>0</v>
      </c>
      <c r="K212" s="99">
        <f t="shared" si="17"/>
        <v>-3220000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114</v>
      </c>
      <c r="H213" s="99">
        <f t="shared" si="15"/>
        <v>0</v>
      </c>
      <c r="I213" s="99">
        <f t="shared" si="13"/>
        <v>-6737400</v>
      </c>
      <c r="J213" s="99">
        <f t="shared" si="20"/>
        <v>0</v>
      </c>
      <c r="K213" s="99">
        <f t="shared" si="17"/>
        <v>-6737400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113</v>
      </c>
      <c r="H214" s="99">
        <f t="shared" si="15"/>
        <v>0</v>
      </c>
      <c r="I214" s="99">
        <f t="shared" si="13"/>
        <v>-3390000</v>
      </c>
      <c r="J214" s="99">
        <f t="shared" si="20"/>
        <v>0</v>
      </c>
      <c r="K214" s="99">
        <f t="shared" si="17"/>
        <v>-3390000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113</v>
      </c>
      <c r="H215" s="99">
        <f t="shared" si="15"/>
        <v>0</v>
      </c>
      <c r="I215" s="99">
        <f t="shared" si="13"/>
        <v>-20114000</v>
      </c>
      <c r="J215" s="99">
        <f t="shared" si="20"/>
        <v>0</v>
      </c>
      <c r="K215" s="99">
        <f t="shared" si="17"/>
        <v>-20114000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112</v>
      </c>
      <c r="H216" s="99">
        <f t="shared" si="15"/>
        <v>0</v>
      </c>
      <c r="I216" s="99">
        <f t="shared" si="13"/>
        <v>-10708320</v>
      </c>
      <c r="J216" s="99">
        <f t="shared" si="20"/>
        <v>0</v>
      </c>
      <c r="K216" s="99">
        <f t="shared" si="17"/>
        <v>-10708320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109</v>
      </c>
      <c r="H217" s="99">
        <f t="shared" si="15"/>
        <v>0</v>
      </c>
      <c r="I217" s="99">
        <f t="shared" si="13"/>
        <v>-9156000</v>
      </c>
      <c r="J217" s="99">
        <f t="shared" si="20"/>
        <v>0</v>
      </c>
      <c r="K217" s="99">
        <f t="shared" si="17"/>
        <v>-9156000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107</v>
      </c>
      <c r="H218" s="99">
        <f t="shared" si="15"/>
        <v>0</v>
      </c>
      <c r="I218" s="99">
        <f t="shared" si="13"/>
        <v>-3531000</v>
      </c>
      <c r="J218" s="99">
        <f t="shared" si="20"/>
        <v>0</v>
      </c>
      <c r="K218" s="99">
        <f t="shared" si="17"/>
        <v>-3531000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104</v>
      </c>
      <c r="H219" s="99">
        <f t="shared" si="15"/>
        <v>1</v>
      </c>
      <c r="I219" s="99">
        <f t="shared" si="13"/>
        <v>159444000</v>
      </c>
      <c r="J219" s="99">
        <f t="shared" si="20"/>
        <v>0</v>
      </c>
      <c r="K219" s="99">
        <f t="shared" si="17"/>
        <v>159444000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103</v>
      </c>
      <c r="H220" s="99">
        <f t="shared" si="15"/>
        <v>0</v>
      </c>
      <c r="I220" s="99">
        <f t="shared" si="13"/>
        <v>-144272100</v>
      </c>
      <c r="J220" s="99">
        <f t="shared" si="20"/>
        <v>0</v>
      </c>
      <c r="K220" s="99">
        <f t="shared" si="17"/>
        <v>-144272100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103</v>
      </c>
      <c r="H221" s="99">
        <f t="shared" si="15"/>
        <v>0</v>
      </c>
      <c r="I221" s="99">
        <f t="shared" si="13"/>
        <v>-1030000</v>
      </c>
      <c r="J221" s="99">
        <f t="shared" si="20"/>
        <v>0</v>
      </c>
      <c r="K221" s="99">
        <f t="shared" si="17"/>
        <v>-1030000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103</v>
      </c>
      <c r="H222" s="99">
        <f t="shared" si="15"/>
        <v>0</v>
      </c>
      <c r="I222" s="99">
        <f t="shared" si="13"/>
        <v>-515000</v>
      </c>
      <c r="J222" s="99">
        <f t="shared" si="20"/>
        <v>-257500</v>
      </c>
      <c r="K222" s="99">
        <f t="shared" si="17"/>
        <v>-257500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97</v>
      </c>
      <c r="H223" s="99">
        <f t="shared" si="15"/>
        <v>0</v>
      </c>
      <c r="I223" s="99">
        <f t="shared" si="13"/>
        <v>-18430000</v>
      </c>
      <c r="J223" s="99">
        <f t="shared" si="20"/>
        <v>0</v>
      </c>
      <c r="K223" s="99">
        <f t="shared" si="17"/>
        <v>-18430000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90</v>
      </c>
      <c r="H224" s="99">
        <f t="shared" si="15"/>
        <v>1</v>
      </c>
      <c r="I224" s="99">
        <f t="shared" si="13"/>
        <v>170079</v>
      </c>
      <c r="J224" s="99">
        <f t="shared" si="20"/>
        <v>5782508</v>
      </c>
      <c r="K224" s="99">
        <f t="shared" si="17"/>
        <v>-5612429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84</v>
      </c>
      <c r="H225" s="99">
        <f t="shared" si="15"/>
        <v>1</v>
      </c>
      <c r="I225" s="99">
        <f t="shared" si="13"/>
        <v>415000000</v>
      </c>
      <c r="J225" s="99">
        <f t="shared" si="20"/>
        <v>0</v>
      </c>
      <c r="K225" s="99">
        <f t="shared" si="17"/>
        <v>415000000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83</v>
      </c>
      <c r="H226" s="99">
        <f t="shared" si="15"/>
        <v>0</v>
      </c>
      <c r="I226" s="99">
        <f t="shared" si="13"/>
        <v>-265600000</v>
      </c>
      <c r="J226" s="99">
        <f t="shared" si="20"/>
        <v>0</v>
      </c>
      <c r="K226" s="99">
        <f t="shared" si="17"/>
        <v>-265600000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83</v>
      </c>
      <c r="H227" s="99">
        <f t="shared" si="15"/>
        <v>1</v>
      </c>
      <c r="I227" s="99">
        <f t="shared" si="13"/>
        <v>196800000</v>
      </c>
      <c r="J227" s="99">
        <f t="shared" si="20"/>
        <v>0</v>
      </c>
      <c r="K227" s="99">
        <f t="shared" si="17"/>
        <v>196800000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81</v>
      </c>
      <c r="H228" s="99">
        <f t="shared" si="15"/>
        <v>0</v>
      </c>
      <c r="I228" s="99">
        <f t="shared" si="13"/>
        <v>-4050000</v>
      </c>
      <c r="J228" s="99">
        <f t="shared" si="20"/>
        <v>0</v>
      </c>
      <c r="K228" s="99">
        <f t="shared" si="17"/>
        <v>-4050000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80</v>
      </c>
      <c r="H229" s="99">
        <f t="shared" si="15"/>
        <v>0</v>
      </c>
      <c r="I229" s="99">
        <f t="shared" si="13"/>
        <v>-328056000</v>
      </c>
      <c r="J229" s="99">
        <f t="shared" si="20"/>
        <v>0</v>
      </c>
      <c r="K229" s="99">
        <f t="shared" si="17"/>
        <v>-328056000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76</v>
      </c>
      <c r="H230" s="99">
        <f t="shared" si="15"/>
        <v>1</v>
      </c>
      <c r="I230" s="99">
        <f t="shared" si="13"/>
        <v>727500000</v>
      </c>
      <c r="J230" s="99">
        <f t="shared" si="20"/>
        <v>0</v>
      </c>
      <c r="K230" s="99">
        <f t="shared" si="17"/>
        <v>727500000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76</v>
      </c>
      <c r="H231" s="99">
        <f t="shared" si="15"/>
        <v>0</v>
      </c>
      <c r="I231" s="99">
        <f t="shared" si="13"/>
        <v>-228068400</v>
      </c>
      <c r="J231" s="99">
        <f t="shared" si="20"/>
        <v>0</v>
      </c>
      <c r="K231" s="99">
        <f t="shared" si="17"/>
        <v>-228068400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75</v>
      </c>
      <c r="H232" s="99">
        <f t="shared" si="15"/>
        <v>0</v>
      </c>
      <c r="I232" s="99">
        <f t="shared" si="13"/>
        <v>-225067500</v>
      </c>
      <c r="J232" s="99">
        <f t="shared" si="20"/>
        <v>0</v>
      </c>
      <c r="K232" s="99">
        <f t="shared" si="17"/>
        <v>-225067500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75</v>
      </c>
      <c r="H233" s="99">
        <f t="shared" si="15"/>
        <v>0</v>
      </c>
      <c r="I233" s="99">
        <f t="shared" si="13"/>
        <v>-41625000</v>
      </c>
      <c r="J233" s="99">
        <f t="shared" si="20"/>
        <v>0</v>
      </c>
      <c r="K233" s="99">
        <f t="shared" si="17"/>
        <v>-41625000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74</v>
      </c>
      <c r="H234" s="99">
        <f t="shared" si="15"/>
        <v>0</v>
      </c>
      <c r="I234" s="99">
        <f t="shared" si="13"/>
        <v>-10238640</v>
      </c>
      <c r="J234" s="99">
        <f t="shared" si="20"/>
        <v>0</v>
      </c>
      <c r="K234" s="99">
        <f t="shared" si="17"/>
        <v>-10238640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73</v>
      </c>
      <c r="H235" s="99">
        <f t="shared" si="15"/>
        <v>0</v>
      </c>
      <c r="I235" s="99">
        <f t="shared" si="13"/>
        <v>-219065700</v>
      </c>
      <c r="J235" s="99">
        <f t="shared" si="20"/>
        <v>0</v>
      </c>
      <c r="K235" s="99">
        <f t="shared" si="17"/>
        <v>-219065700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71</v>
      </c>
      <c r="H236" s="99">
        <f t="shared" si="15"/>
        <v>0</v>
      </c>
      <c r="I236" s="99">
        <f t="shared" si="13"/>
        <v>-3905000</v>
      </c>
      <c r="J236" s="99">
        <f t="shared" si="20"/>
        <v>0</v>
      </c>
      <c r="K236" s="99">
        <f t="shared" si="17"/>
        <v>-3905000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67</v>
      </c>
      <c r="H237" s="99">
        <f t="shared" si="15"/>
        <v>1</v>
      </c>
      <c r="I237" s="99">
        <f t="shared" si="13"/>
        <v>398310000</v>
      </c>
      <c r="J237" s="99">
        <f t="shared" si="20"/>
        <v>0</v>
      </c>
      <c r="K237" s="99">
        <f t="shared" si="17"/>
        <v>398310000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65</v>
      </c>
      <c r="H238" s="99">
        <f t="shared" si="15"/>
        <v>0</v>
      </c>
      <c r="I238" s="99">
        <f t="shared" si="13"/>
        <v>-487500</v>
      </c>
      <c r="J238" s="99">
        <f t="shared" si="20"/>
        <v>0</v>
      </c>
      <c r="K238" s="99">
        <f t="shared" si="17"/>
        <v>-487500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64</v>
      </c>
      <c r="H239" s="99">
        <f t="shared" si="15"/>
        <v>0</v>
      </c>
      <c r="I239" s="99">
        <f t="shared" si="13"/>
        <v>-262305472</v>
      </c>
      <c r="J239" s="99">
        <f t="shared" si="20"/>
        <v>0</v>
      </c>
      <c r="K239" s="99">
        <f t="shared" si="17"/>
        <v>-262305472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64</v>
      </c>
      <c r="H240" s="99">
        <f t="shared" si="15"/>
        <v>0</v>
      </c>
      <c r="I240" s="99">
        <f t="shared" si="13"/>
        <v>-2126400</v>
      </c>
      <c r="J240" s="99">
        <f t="shared" si="20"/>
        <v>0</v>
      </c>
      <c r="K240" s="99">
        <f t="shared" si="17"/>
        <v>-2126400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64</v>
      </c>
      <c r="H241" s="99">
        <f t="shared" si="15"/>
        <v>0</v>
      </c>
      <c r="I241" s="99">
        <f t="shared" si="13"/>
        <v>-121280000</v>
      </c>
      <c r="J241" s="99">
        <f t="shared" si="20"/>
        <v>0</v>
      </c>
      <c r="K241" s="99">
        <f t="shared" si="17"/>
        <v>-121280000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57</v>
      </c>
      <c r="H242" s="99">
        <f t="shared" si="15"/>
        <v>1</v>
      </c>
      <c r="I242" s="99">
        <f t="shared" si="13"/>
        <v>140000000</v>
      </c>
      <c r="J242" s="99">
        <f t="shared" si="20"/>
        <v>0</v>
      </c>
      <c r="K242" s="99">
        <f t="shared" si="17"/>
        <v>140000000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55</v>
      </c>
      <c r="H243" s="99">
        <f t="shared" si="15"/>
        <v>0</v>
      </c>
      <c r="I243" s="99">
        <f t="shared" si="13"/>
        <v>-137500000</v>
      </c>
      <c r="J243" s="99">
        <f t="shared" si="20"/>
        <v>0</v>
      </c>
      <c r="K243" s="99">
        <f t="shared" si="17"/>
        <v>-137500000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53</v>
      </c>
      <c r="H244" s="99">
        <f t="shared" si="15"/>
        <v>1</v>
      </c>
      <c r="I244" s="99">
        <f t="shared" si="13"/>
        <v>57200000</v>
      </c>
      <c r="J244" s="99">
        <f t="shared" si="20"/>
        <v>0</v>
      </c>
      <c r="K244" s="99">
        <f t="shared" si="17"/>
        <v>57200000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51</v>
      </c>
      <c r="H245" s="99">
        <f t="shared" si="15"/>
        <v>1</v>
      </c>
      <c r="I245" s="99">
        <f t="shared" si="13"/>
        <v>150000000</v>
      </c>
      <c r="J245" s="99">
        <f t="shared" si="20"/>
        <v>0</v>
      </c>
      <c r="K245" s="99">
        <f t="shared" si="17"/>
        <v>150000000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49</v>
      </c>
      <c r="H246" s="99">
        <f t="shared" si="15"/>
        <v>0</v>
      </c>
      <c r="I246" s="99">
        <f t="shared" si="13"/>
        <v>-197994300</v>
      </c>
      <c r="J246" s="99">
        <f t="shared" si="20"/>
        <v>0</v>
      </c>
      <c r="K246" s="99">
        <f t="shared" si="17"/>
        <v>-197994300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49</v>
      </c>
      <c r="H247" s="99">
        <f t="shared" si="15"/>
        <v>1</v>
      </c>
      <c r="I247" s="99">
        <f t="shared" si="13"/>
        <v>23520000</v>
      </c>
      <c r="J247" s="99">
        <f t="shared" si="20"/>
        <v>0</v>
      </c>
      <c r="K247" s="99">
        <f t="shared" si="17"/>
        <v>23520000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48</v>
      </c>
      <c r="H248" s="99">
        <f t="shared" si="15"/>
        <v>1</v>
      </c>
      <c r="I248" s="99">
        <f t="shared" si="13"/>
        <v>65800000</v>
      </c>
      <c r="J248" s="99">
        <f t="shared" si="20"/>
        <v>0</v>
      </c>
      <c r="K248" s="99">
        <f t="shared" si="17"/>
        <v>65800000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48</v>
      </c>
      <c r="H249" s="99">
        <f t="shared" si="15"/>
        <v>0</v>
      </c>
      <c r="I249" s="99">
        <f t="shared" si="13"/>
        <v>-72000000</v>
      </c>
      <c r="J249" s="99">
        <f t="shared" si="20"/>
        <v>0</v>
      </c>
      <c r="K249" s="99">
        <f t="shared" si="17"/>
        <v>-72000000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47</v>
      </c>
      <c r="H250" s="99">
        <f t="shared" si="15"/>
        <v>0</v>
      </c>
      <c r="I250" s="99">
        <f t="shared" si="13"/>
        <v>-4700000</v>
      </c>
      <c r="J250" s="99">
        <f t="shared" si="20"/>
        <v>0</v>
      </c>
      <c r="K250" s="99">
        <f t="shared" si="17"/>
        <v>-4700000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46</v>
      </c>
      <c r="H251" s="99">
        <f t="shared" si="15"/>
        <v>0</v>
      </c>
      <c r="I251" s="99">
        <f t="shared" si="13"/>
        <v>-639400</v>
      </c>
      <c r="J251" s="99">
        <f t="shared" si="20"/>
        <v>0</v>
      </c>
      <c r="K251" s="99">
        <f t="shared" si="17"/>
        <v>-639400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46</v>
      </c>
      <c r="H252" s="99">
        <f t="shared" si="15"/>
        <v>1</v>
      </c>
      <c r="I252" s="99">
        <f t="shared" si="13"/>
        <v>13500000</v>
      </c>
      <c r="J252" s="99">
        <f t="shared" si="20"/>
        <v>0</v>
      </c>
      <c r="K252" s="99">
        <f t="shared" si="17"/>
        <v>13500000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44</v>
      </c>
      <c r="H253" s="99">
        <f t="shared" si="15"/>
        <v>1</v>
      </c>
      <c r="I253" s="99">
        <f t="shared" si="13"/>
        <v>516000000</v>
      </c>
      <c r="J253" s="99">
        <f t="shared" si="20"/>
        <v>0</v>
      </c>
      <c r="K253" s="99">
        <f t="shared" si="17"/>
        <v>516000000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43</v>
      </c>
      <c r="H254" s="99">
        <f t="shared" si="15"/>
        <v>1</v>
      </c>
      <c r="I254" s="99">
        <f t="shared" si="13"/>
        <v>126000000</v>
      </c>
      <c r="J254" s="99">
        <f t="shared" si="20"/>
        <v>0</v>
      </c>
      <c r="K254" s="99">
        <f t="shared" si="17"/>
        <v>126000000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42</v>
      </c>
      <c r="H255" s="99">
        <f t="shared" si="15"/>
        <v>0</v>
      </c>
      <c r="I255" s="99">
        <f t="shared" si="13"/>
        <v>-588000000</v>
      </c>
      <c r="J255" s="99">
        <f t="shared" si="20"/>
        <v>0</v>
      </c>
      <c r="K255" s="99">
        <f t="shared" si="17"/>
        <v>-588000000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41</v>
      </c>
      <c r="H256" s="99">
        <f t="shared" si="15"/>
        <v>0</v>
      </c>
      <c r="I256" s="99">
        <f t="shared" si="13"/>
        <v>-5123729</v>
      </c>
      <c r="J256" s="99">
        <f t="shared" si="20"/>
        <v>0</v>
      </c>
      <c r="K256" s="99">
        <f t="shared" si="17"/>
        <v>-5123729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41</v>
      </c>
      <c r="H257" s="99">
        <f t="shared" si="15"/>
        <v>0</v>
      </c>
      <c r="I257" s="99">
        <f t="shared" si="13"/>
        <v>0</v>
      </c>
      <c r="J257" s="99">
        <f t="shared" si="20"/>
        <v>-326720349</v>
      </c>
      <c r="K257" s="99">
        <f t="shared" si="17"/>
        <v>326720349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40</v>
      </c>
      <c r="H258" s="99">
        <f t="shared" si="15"/>
        <v>0</v>
      </c>
      <c r="I258" s="99">
        <f t="shared" si="13"/>
        <v>-52520000</v>
      </c>
      <c r="J258" s="99">
        <f t="shared" si="20"/>
        <v>0</v>
      </c>
      <c r="K258" s="99">
        <f t="shared" si="17"/>
        <v>-52520000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37</v>
      </c>
      <c r="H259" s="99">
        <f t="shared" si="15"/>
        <v>1</v>
      </c>
      <c r="I259" s="99">
        <f t="shared" si="13"/>
        <v>72000000</v>
      </c>
      <c r="J259" s="99">
        <f t="shared" si="20"/>
        <v>0</v>
      </c>
      <c r="K259" s="99">
        <f t="shared" si="17"/>
        <v>72000000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36</v>
      </c>
      <c r="H260" s="99">
        <f t="shared" si="15"/>
        <v>0</v>
      </c>
      <c r="I260" s="99">
        <f t="shared" si="13"/>
        <v>-68400000</v>
      </c>
      <c r="J260" s="99">
        <f t="shared" si="20"/>
        <v>0</v>
      </c>
      <c r="K260" s="99">
        <f t="shared" si="17"/>
        <v>-68400000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36</v>
      </c>
      <c r="H261" s="99">
        <f t="shared" si="15"/>
        <v>0</v>
      </c>
      <c r="I261" s="99">
        <f t="shared" si="13"/>
        <v>-3618000</v>
      </c>
      <c r="J261" s="99">
        <f t="shared" si="20"/>
        <v>0</v>
      </c>
      <c r="K261" s="99">
        <f t="shared" si="17"/>
        <v>-3618000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36</v>
      </c>
      <c r="H262" s="99">
        <f t="shared" si="15"/>
        <v>0</v>
      </c>
      <c r="I262" s="99">
        <f t="shared" si="13"/>
        <v>-2472120</v>
      </c>
      <c r="J262" s="99">
        <f t="shared" si="20"/>
        <v>0</v>
      </c>
      <c r="K262" s="99">
        <f t="shared" si="17"/>
        <v>-2472120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35</v>
      </c>
      <c r="H263" s="99">
        <f t="shared" si="15"/>
        <v>0</v>
      </c>
      <c r="I263" s="99">
        <f t="shared" si="13"/>
        <v>-4151000</v>
      </c>
      <c r="J263" s="99">
        <f t="shared" si="20"/>
        <v>0</v>
      </c>
      <c r="K263" s="99">
        <f t="shared" si="17"/>
        <v>-4151000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33</v>
      </c>
      <c r="H264" s="99">
        <f t="shared" si="15"/>
        <v>1</v>
      </c>
      <c r="I264" s="99">
        <f t="shared" si="13"/>
        <v>216928000</v>
      </c>
      <c r="J264" s="99">
        <f t="shared" si="20"/>
        <v>0</v>
      </c>
      <c r="K264" s="99">
        <f t="shared" si="17"/>
        <v>216928000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33</v>
      </c>
      <c r="H265" s="99">
        <f t="shared" si="15"/>
        <v>0</v>
      </c>
      <c r="I265" s="99">
        <f t="shared" si="13"/>
        <v>-211200000</v>
      </c>
      <c r="J265" s="99">
        <f t="shared" si="20"/>
        <v>0</v>
      </c>
      <c r="K265" s="99">
        <f t="shared" si="17"/>
        <v>-211200000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33</v>
      </c>
      <c r="H266" s="99">
        <f t="shared" si="15"/>
        <v>0</v>
      </c>
      <c r="I266" s="99">
        <f t="shared" si="13"/>
        <v>-12837000</v>
      </c>
      <c r="J266" s="99">
        <f t="shared" si="20"/>
        <v>0</v>
      </c>
      <c r="K266" s="99">
        <f t="shared" si="17"/>
        <v>-12837000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29</v>
      </c>
      <c r="H267" s="99">
        <f t="shared" si="15"/>
        <v>1</v>
      </c>
      <c r="I267" s="99">
        <f t="shared" si="13"/>
        <v>6160000</v>
      </c>
      <c r="J267" s="99">
        <f t="shared" si="20"/>
        <v>0</v>
      </c>
      <c r="K267" s="99">
        <f t="shared" si="17"/>
        <v>6160000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29</v>
      </c>
      <c r="H268" s="99">
        <f t="shared" si="15"/>
        <v>0</v>
      </c>
      <c r="I268" s="99">
        <f t="shared" si="13"/>
        <v>-3172310</v>
      </c>
      <c r="J268" s="99">
        <f t="shared" si="20"/>
        <v>0</v>
      </c>
      <c r="K268" s="99">
        <f t="shared" si="17"/>
        <v>-3172310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27</v>
      </c>
      <c r="H269" s="99">
        <f t="shared" si="15"/>
        <v>1</v>
      </c>
      <c r="I269" s="99">
        <f t="shared" si="13"/>
        <v>2600000</v>
      </c>
      <c r="J269" s="99">
        <f t="shared" si="20"/>
        <v>0</v>
      </c>
      <c r="K269" s="99">
        <f t="shared" si="17"/>
        <v>2600000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27</v>
      </c>
      <c r="H270" s="99">
        <f t="shared" si="15"/>
        <v>1</v>
      </c>
      <c r="I270" s="99">
        <f t="shared" si="13"/>
        <v>67600000</v>
      </c>
      <c r="J270" s="99">
        <f t="shared" si="20"/>
        <v>0</v>
      </c>
      <c r="K270" s="99">
        <f t="shared" si="17"/>
        <v>67600000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26</v>
      </c>
      <c r="H271" s="99">
        <f t="shared" si="15"/>
        <v>1</v>
      </c>
      <c r="I271" s="99">
        <f t="shared" si="13"/>
        <v>110000000</v>
      </c>
      <c r="J271" s="99">
        <f t="shared" si="20"/>
        <v>0</v>
      </c>
      <c r="K271" s="99">
        <f t="shared" si="17"/>
        <v>110000000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26</v>
      </c>
      <c r="H272" s="99">
        <f t="shared" si="15"/>
        <v>0</v>
      </c>
      <c r="I272" s="99">
        <f t="shared" si="13"/>
        <v>-2470000</v>
      </c>
      <c r="J272" s="99">
        <f t="shared" si="20"/>
        <v>0</v>
      </c>
      <c r="K272" s="99">
        <f t="shared" si="17"/>
        <v>-2470000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25</v>
      </c>
      <c r="H273" s="99">
        <f t="shared" si="15"/>
        <v>0</v>
      </c>
      <c r="I273" s="99">
        <f t="shared" si="13"/>
        <v>-22500000</v>
      </c>
      <c r="J273" s="99">
        <f t="shared" si="20"/>
        <v>0</v>
      </c>
      <c r="K273" s="99">
        <f t="shared" si="17"/>
        <v>-22500000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24</v>
      </c>
      <c r="H274" s="99">
        <f t="shared" si="15"/>
        <v>1</v>
      </c>
      <c r="I274" s="99">
        <f t="shared" si="13"/>
        <v>57500000</v>
      </c>
      <c r="J274" s="99">
        <f t="shared" si="20"/>
        <v>0</v>
      </c>
      <c r="K274" s="99">
        <f t="shared" si="17"/>
        <v>57500000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24</v>
      </c>
      <c r="H275" s="99">
        <f t="shared" si="15"/>
        <v>0</v>
      </c>
      <c r="I275" s="99">
        <f t="shared" si="13"/>
        <v>-30888000</v>
      </c>
      <c r="J275" s="99">
        <f t="shared" si="20"/>
        <v>0</v>
      </c>
      <c r="K275" s="99">
        <f t="shared" si="17"/>
        <v>-30888000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22</v>
      </c>
      <c r="H276" s="99">
        <f t="shared" si="15"/>
        <v>1</v>
      </c>
      <c r="I276" s="99">
        <f t="shared" si="13"/>
        <v>79800000</v>
      </c>
      <c r="J276" s="99">
        <f t="shared" si="20"/>
        <v>0</v>
      </c>
      <c r="K276" s="99">
        <f t="shared" si="17"/>
        <v>79800000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21</v>
      </c>
      <c r="H277" s="99">
        <f t="shared" si="15"/>
        <v>1</v>
      </c>
      <c r="I277" s="99">
        <f t="shared" si="13"/>
        <v>420000000</v>
      </c>
      <c r="J277" s="99">
        <f t="shared" si="20"/>
        <v>0</v>
      </c>
      <c r="K277" s="99">
        <f t="shared" si="17"/>
        <v>420000000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20</v>
      </c>
      <c r="H278" s="99">
        <f t="shared" si="15"/>
        <v>1</v>
      </c>
      <c r="I278" s="99">
        <f t="shared" si="13"/>
        <v>57000000</v>
      </c>
      <c r="J278" s="99">
        <f t="shared" si="20"/>
        <v>0</v>
      </c>
      <c r="K278" s="99">
        <f t="shared" si="17"/>
        <v>57000000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20</v>
      </c>
      <c r="H279" s="99">
        <f t="shared" si="15"/>
        <v>1</v>
      </c>
      <c r="I279" s="99">
        <f t="shared" si="13"/>
        <v>38000000</v>
      </c>
      <c r="J279" s="99">
        <f t="shared" si="20"/>
        <v>0</v>
      </c>
      <c r="K279" s="99">
        <f t="shared" si="17"/>
        <v>38000000</v>
      </c>
    </row>
    <row r="280" spans="1:12">
      <c r="A280" s="99" t="s">
        <v>4607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19</v>
      </c>
      <c r="H280" s="99">
        <f t="shared" si="15"/>
        <v>0</v>
      </c>
      <c r="I280" s="99">
        <f t="shared" si="13"/>
        <v>-38000000</v>
      </c>
      <c r="J280" s="99">
        <f t="shared" si="20"/>
        <v>0</v>
      </c>
      <c r="K280" s="99">
        <f t="shared" si="17"/>
        <v>-38000000</v>
      </c>
    </row>
    <row r="281" spans="1:12">
      <c r="A281" s="99" t="s">
        <v>4609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18</v>
      </c>
      <c r="H281" s="99">
        <f t="shared" si="15"/>
        <v>0</v>
      </c>
      <c r="I281" s="99">
        <f t="shared" si="13"/>
        <v>-180000000</v>
      </c>
      <c r="J281" s="99">
        <f t="shared" si="20"/>
        <v>0</v>
      </c>
      <c r="K281" s="99">
        <f t="shared" si="17"/>
        <v>-180000000</v>
      </c>
    </row>
    <row r="282" spans="1:12">
      <c r="A282" s="99" t="s">
        <v>4611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14</v>
      </c>
      <c r="H282" s="99">
        <f t="shared" si="15"/>
        <v>0</v>
      </c>
      <c r="I282" s="99">
        <f t="shared" si="13"/>
        <v>-233800000</v>
      </c>
      <c r="J282" s="99">
        <f t="shared" ref="J282:J297" si="22">C282*(G282-H282)</f>
        <v>0</v>
      </c>
      <c r="K282" s="99">
        <f t="shared" ref="K282:K297" si="23">D282*(G282-H282)</f>
        <v>-233800000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12</v>
      </c>
      <c r="H283" s="99">
        <f t="shared" si="15"/>
        <v>1</v>
      </c>
      <c r="I283" s="99">
        <f t="shared" si="13"/>
        <v>132000000</v>
      </c>
      <c r="J283" s="99">
        <f t="shared" si="22"/>
        <v>0</v>
      </c>
      <c r="K283" s="99">
        <f t="shared" si="23"/>
        <v>132000000</v>
      </c>
    </row>
    <row r="284" spans="1:12">
      <c r="A284" s="99" t="s">
        <v>4626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11</v>
      </c>
      <c r="H284" s="99">
        <f t="shared" si="15"/>
        <v>1</v>
      </c>
      <c r="I284" s="99">
        <f t="shared" si="13"/>
        <v>19000000</v>
      </c>
      <c r="J284" s="99">
        <f t="shared" si="22"/>
        <v>0</v>
      </c>
      <c r="K284" s="99">
        <f t="shared" si="23"/>
        <v>19000000</v>
      </c>
    </row>
    <row r="285" spans="1:12">
      <c r="A285" s="99" t="s">
        <v>4626</v>
      </c>
      <c r="B285" s="18">
        <v>-3995000</v>
      </c>
      <c r="C285" s="18">
        <v>0</v>
      </c>
      <c r="D285" s="18">
        <f t="shared" si="18"/>
        <v>-3995000</v>
      </c>
      <c r="E285" s="99" t="s">
        <v>4628</v>
      </c>
      <c r="F285" s="99">
        <v>3</v>
      </c>
      <c r="G285" s="36">
        <f t="shared" si="21"/>
        <v>11</v>
      </c>
      <c r="H285" s="99">
        <f t="shared" si="15"/>
        <v>0</v>
      </c>
      <c r="I285" s="99">
        <f t="shared" si="13"/>
        <v>-43945000</v>
      </c>
      <c r="J285" s="99">
        <f t="shared" si="22"/>
        <v>0</v>
      </c>
      <c r="K285" s="99">
        <f t="shared" si="23"/>
        <v>-43945000</v>
      </c>
    </row>
    <row r="286" spans="1:12">
      <c r="A286" s="99" t="s">
        <v>4636</v>
      </c>
      <c r="B286" s="18">
        <v>-2010700</v>
      </c>
      <c r="C286" s="18">
        <v>0</v>
      </c>
      <c r="D286" s="18">
        <f t="shared" si="18"/>
        <v>-2010700</v>
      </c>
      <c r="E286" s="99" t="s">
        <v>4641</v>
      </c>
      <c r="F286" s="99">
        <v>0</v>
      </c>
      <c r="G286" s="36">
        <f t="shared" si="21"/>
        <v>8</v>
      </c>
      <c r="H286" s="99">
        <f t="shared" si="15"/>
        <v>0</v>
      </c>
      <c r="I286" s="99">
        <f t="shared" si="13"/>
        <v>-16085600</v>
      </c>
      <c r="J286" s="99">
        <f t="shared" si="22"/>
        <v>0</v>
      </c>
      <c r="K286" s="99">
        <f t="shared" si="23"/>
        <v>-16085600</v>
      </c>
    </row>
    <row r="287" spans="1:12">
      <c r="A287" s="99" t="s">
        <v>4636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8</v>
      </c>
      <c r="H287" s="99">
        <f t="shared" si="15"/>
        <v>0</v>
      </c>
      <c r="I287" s="99">
        <f t="shared" si="13"/>
        <v>-32000000</v>
      </c>
      <c r="J287" s="99">
        <f t="shared" si="22"/>
        <v>0</v>
      </c>
      <c r="K287" s="99">
        <f t="shared" si="23"/>
        <v>-32000000</v>
      </c>
    </row>
    <row r="288" spans="1:12">
      <c r="A288" s="99" t="s">
        <v>4643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7</v>
      </c>
      <c r="H288" s="99">
        <f t="shared" si="15"/>
        <v>0</v>
      </c>
      <c r="I288" s="99">
        <f t="shared" si="13"/>
        <v>-39900000</v>
      </c>
      <c r="J288" s="99">
        <f t="shared" si="22"/>
        <v>0</v>
      </c>
      <c r="K288" s="99">
        <f t="shared" si="23"/>
        <v>-39900000</v>
      </c>
      <c r="L288" t="s">
        <v>25</v>
      </c>
    </row>
    <row r="289" spans="1:11">
      <c r="A289" s="99" t="s">
        <v>4656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5</v>
      </c>
      <c r="H289" s="99">
        <f t="shared" si="15"/>
        <v>1</v>
      </c>
      <c r="I289" s="99">
        <f t="shared" si="13"/>
        <v>32000000</v>
      </c>
      <c r="J289" s="99">
        <f t="shared" si="22"/>
        <v>0</v>
      </c>
      <c r="K289" s="99">
        <f t="shared" si="23"/>
        <v>32000000</v>
      </c>
    </row>
    <row r="290" spans="1:11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4</v>
      </c>
      <c r="H290" s="99">
        <f t="shared" si="15"/>
        <v>0</v>
      </c>
      <c r="I290" s="99">
        <f t="shared" si="13"/>
        <v>-32000000</v>
      </c>
      <c r="J290" s="99">
        <f t="shared" si="22"/>
        <v>0</v>
      </c>
      <c r="K290" s="99">
        <f t="shared" si="23"/>
        <v>-32000000</v>
      </c>
    </row>
    <row r="291" spans="1:11">
      <c r="A291" s="99" t="s">
        <v>4664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</v>
      </c>
      <c r="H291" s="99">
        <f t="shared" si="15"/>
        <v>0</v>
      </c>
      <c r="I291" s="99">
        <f t="shared" si="13"/>
        <v>-6000000</v>
      </c>
      <c r="J291" s="99">
        <f t="shared" si="22"/>
        <v>0</v>
      </c>
      <c r="K291" s="99">
        <f t="shared" si="23"/>
        <v>-6000000</v>
      </c>
    </row>
    <row r="292" spans="1:11">
      <c r="A292" s="99" t="s">
        <v>4664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</v>
      </c>
      <c r="H292" s="99">
        <f t="shared" si="15"/>
        <v>0</v>
      </c>
      <c r="I292" s="99">
        <f t="shared" si="13"/>
        <v>-77315</v>
      </c>
      <c r="J292" s="99">
        <f t="shared" si="22"/>
        <v>0</v>
      </c>
      <c r="K292" s="99">
        <f t="shared" si="23"/>
        <v>-77315</v>
      </c>
    </row>
    <row r="293" spans="1:11">
      <c r="A293" s="99"/>
      <c r="B293" s="18"/>
      <c r="C293" s="18"/>
      <c r="D293" s="18"/>
      <c r="E293" s="99"/>
      <c r="F293" s="99"/>
      <c r="G293" s="36">
        <f t="shared" si="21"/>
        <v>0</v>
      </c>
      <c r="H293" s="99">
        <f t="shared" si="15"/>
        <v>0</v>
      </c>
      <c r="I293" s="99">
        <f t="shared" si="13"/>
        <v>0</v>
      </c>
      <c r="J293" s="99">
        <f t="shared" si="22"/>
        <v>0</v>
      </c>
      <c r="K293" s="99">
        <f t="shared" si="23"/>
        <v>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653026</v>
      </c>
      <c r="C299" s="29">
        <f>SUM(C2:C298)</f>
        <v>0</v>
      </c>
      <c r="D299" s="29">
        <f>SUM(D2:D298)</f>
        <v>653026</v>
      </c>
      <c r="E299" s="11"/>
      <c r="F299" s="11"/>
      <c r="G299" s="11"/>
      <c r="H299" s="11"/>
      <c r="I299" s="29">
        <f>SUM(I2:I298)</f>
        <v>19168604207</v>
      </c>
      <c r="J299" s="29">
        <f>SUM(J2:J298)</f>
        <v>8687685429</v>
      </c>
      <c r="K299" s="29">
        <f>SUM(K2:K298)</f>
        <v>10480918778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18885324.341871921</v>
      </c>
      <c r="J302" s="29">
        <f>J299/G2</f>
        <v>8559295.9891625624</v>
      </c>
      <c r="K302" s="29">
        <f>K299/G2</f>
        <v>10326028.35270936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1849665</v>
      </c>
      <c r="G306" t="s">
        <v>25</v>
      </c>
      <c r="J306">
        <f>J299/I299*1448696</f>
        <v>656584.85064105445</v>
      </c>
      <c r="K306">
        <f>K299/I299*1448696</f>
        <v>792111.14935894555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4" t="s">
        <v>1089</v>
      </c>
      <c r="R21" s="214"/>
      <c r="S21" s="214"/>
      <c r="T21" s="214"/>
      <c r="U21" s="96"/>
      <c r="V21" s="96"/>
      <c r="W21" s="96"/>
      <c r="X21" s="96"/>
      <c r="Y21" s="96"/>
      <c r="Z21" s="96"/>
    </row>
    <row r="22" spans="5:35">
      <c r="O22" s="99"/>
      <c r="P22" s="99"/>
      <c r="Q22" s="214"/>
      <c r="R22" s="214"/>
      <c r="S22" s="214"/>
      <c r="T22" s="21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5" t="s">
        <v>1090</v>
      </c>
      <c r="R23" s="216" t="s">
        <v>1091</v>
      </c>
      <c r="S23" s="215" t="s">
        <v>1092</v>
      </c>
      <c r="T23" s="217" t="s">
        <v>1093</v>
      </c>
      <c r="AD23" t="s">
        <v>25</v>
      </c>
    </row>
    <row r="24" spans="5:35">
      <c r="O24" s="99"/>
      <c r="P24" s="99"/>
      <c r="Q24" s="215"/>
      <c r="R24" s="216"/>
      <c r="S24" s="215"/>
      <c r="T24" s="217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962</v>
      </c>
      <c r="E2" s="11">
        <f>IF(B2&gt;0,1,0)</f>
        <v>1</v>
      </c>
      <c r="F2" s="11">
        <f>B2*(D2-E2)</f>
        <v>92928700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960</v>
      </c>
      <c r="E3" s="11">
        <f t="shared" ref="E3:E66" si="1">IF(B3&gt;0,1,0)</f>
        <v>1</v>
      </c>
      <c r="F3" s="11">
        <f t="shared" ref="F3:F66" si="2">B3*(D3-E3)</f>
        <v>2877000000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957</v>
      </c>
      <c r="E4" s="11">
        <f t="shared" si="1"/>
        <v>0</v>
      </c>
      <c r="F4" s="11">
        <f t="shared" si="2"/>
        <v>-191400000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955</v>
      </c>
      <c r="E5" s="11">
        <f t="shared" si="1"/>
        <v>0</v>
      </c>
      <c r="F5" s="11">
        <f t="shared" si="2"/>
        <v>-95500000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954</v>
      </c>
      <c r="E6" s="11">
        <f t="shared" si="1"/>
        <v>0</v>
      </c>
      <c r="F6" s="11">
        <f t="shared" si="2"/>
        <v>-52470000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953</v>
      </c>
      <c r="E7" s="11">
        <f t="shared" si="1"/>
        <v>0</v>
      </c>
      <c r="F7" s="11">
        <f t="shared" si="2"/>
        <v>-190600000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949</v>
      </c>
      <c r="E8" s="11">
        <f t="shared" si="1"/>
        <v>0</v>
      </c>
      <c r="F8" s="11">
        <f t="shared" si="2"/>
        <v>-189800000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939</v>
      </c>
      <c r="E9" s="11">
        <f t="shared" si="1"/>
        <v>0</v>
      </c>
      <c r="F9" s="11">
        <f t="shared" si="2"/>
        <v>-892519500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938</v>
      </c>
      <c r="E10" s="11">
        <f t="shared" si="1"/>
        <v>1</v>
      </c>
      <c r="F10" s="11">
        <f t="shared" si="2"/>
        <v>1874000000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936</v>
      </c>
      <c r="E11" s="11">
        <f t="shared" si="1"/>
        <v>0</v>
      </c>
      <c r="F11" s="11">
        <f t="shared" si="2"/>
        <v>-996840000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933</v>
      </c>
      <c r="E12" s="11">
        <f t="shared" si="1"/>
        <v>0</v>
      </c>
      <c r="F12" s="11">
        <f t="shared" si="2"/>
        <v>-41985000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932</v>
      </c>
      <c r="E13" s="11">
        <f t="shared" si="1"/>
        <v>0</v>
      </c>
      <c r="F13" s="11">
        <f t="shared" si="2"/>
        <v>-1864652400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928</v>
      </c>
      <c r="E14" s="11">
        <f t="shared" si="1"/>
        <v>0</v>
      </c>
      <c r="F14" s="11">
        <f t="shared" si="2"/>
        <v>-185600000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926</v>
      </c>
      <c r="E15" s="11">
        <f t="shared" si="1"/>
        <v>1</v>
      </c>
      <c r="F15" s="11">
        <f t="shared" si="2"/>
        <v>1850000000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926</v>
      </c>
      <c r="E16" s="11">
        <f t="shared" si="1"/>
        <v>1</v>
      </c>
      <c r="F16" s="11">
        <f t="shared" si="2"/>
        <v>1850000000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926</v>
      </c>
      <c r="E17" s="11">
        <f t="shared" si="1"/>
        <v>1</v>
      </c>
      <c r="F17" s="11">
        <f t="shared" si="2"/>
        <v>1110000000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926</v>
      </c>
      <c r="E18" s="11">
        <f t="shared" si="1"/>
        <v>1</v>
      </c>
      <c r="F18" s="11">
        <f t="shared" si="2"/>
        <v>925000000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925</v>
      </c>
      <c r="E19" s="11">
        <f t="shared" si="1"/>
        <v>1</v>
      </c>
      <c r="F19" s="11">
        <f t="shared" si="2"/>
        <v>2772000000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925</v>
      </c>
      <c r="E20" s="11">
        <f t="shared" si="1"/>
        <v>0</v>
      </c>
      <c r="F20" s="11">
        <f t="shared" si="2"/>
        <v>-400247500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925</v>
      </c>
      <c r="E21" s="11">
        <f t="shared" si="1"/>
        <v>0</v>
      </c>
      <c r="F21" s="11">
        <f t="shared" si="2"/>
        <v>-400247500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925</v>
      </c>
      <c r="E22" s="11">
        <f t="shared" si="1"/>
        <v>0</v>
      </c>
      <c r="F22" s="11">
        <f t="shared" si="2"/>
        <v>-400247500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925</v>
      </c>
      <c r="E23" s="11">
        <f t="shared" si="1"/>
        <v>0</v>
      </c>
      <c r="F23" s="11">
        <f t="shared" si="2"/>
        <v>-400247500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925</v>
      </c>
      <c r="E24" s="11">
        <f t="shared" si="1"/>
        <v>0</v>
      </c>
      <c r="F24" s="11">
        <f t="shared" si="2"/>
        <v>-400247500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925</v>
      </c>
      <c r="E25" s="11">
        <f t="shared" si="1"/>
        <v>0</v>
      </c>
      <c r="F25" s="11">
        <f t="shared" si="2"/>
        <v>-185000000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924</v>
      </c>
      <c r="E26" s="11">
        <f t="shared" si="1"/>
        <v>1</v>
      </c>
      <c r="F26" s="11">
        <f t="shared" si="2"/>
        <v>2769000000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922</v>
      </c>
      <c r="E27" s="11">
        <f t="shared" si="1"/>
        <v>0</v>
      </c>
      <c r="F27" s="11">
        <f t="shared" si="2"/>
        <v>-184400000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921</v>
      </c>
      <c r="E28" s="11">
        <f t="shared" si="1"/>
        <v>1</v>
      </c>
      <c r="F28" s="11">
        <f t="shared" si="2"/>
        <v>1840000000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920</v>
      </c>
      <c r="E29" s="11">
        <f t="shared" si="1"/>
        <v>0</v>
      </c>
      <c r="F29" s="11">
        <f t="shared" si="2"/>
        <v>-6440736000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919</v>
      </c>
      <c r="E30" s="11">
        <f t="shared" si="1"/>
        <v>0</v>
      </c>
      <c r="F30" s="11">
        <f t="shared" si="2"/>
        <v>-2757827100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918</v>
      </c>
      <c r="E31" s="11">
        <f t="shared" si="1"/>
        <v>0</v>
      </c>
      <c r="F31" s="11">
        <f t="shared" si="2"/>
        <v>-1556836200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915</v>
      </c>
      <c r="E32" s="11">
        <f t="shared" si="1"/>
        <v>1</v>
      </c>
      <c r="F32" s="11">
        <f t="shared" si="2"/>
        <v>908790200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909</v>
      </c>
      <c r="E33" s="11">
        <f t="shared" si="1"/>
        <v>1</v>
      </c>
      <c r="F33" s="11">
        <f t="shared" si="2"/>
        <v>31862628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908</v>
      </c>
      <c r="E34" s="11">
        <f t="shared" si="1"/>
        <v>0</v>
      </c>
      <c r="F34" s="11">
        <f t="shared" si="2"/>
        <v>-771800000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900</v>
      </c>
      <c r="E35" s="11">
        <f t="shared" si="1"/>
        <v>0</v>
      </c>
      <c r="F35" s="11">
        <f t="shared" si="2"/>
        <v>-171450000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899</v>
      </c>
      <c r="E36" s="11">
        <f t="shared" si="1"/>
        <v>1</v>
      </c>
      <c r="F36" s="11">
        <f t="shared" si="2"/>
        <v>179600000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899</v>
      </c>
      <c r="E37" s="11">
        <f t="shared" si="1"/>
        <v>0</v>
      </c>
      <c r="F37" s="11">
        <f t="shared" si="2"/>
        <v>-179800000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877</v>
      </c>
      <c r="E38" s="11">
        <f t="shared" si="1"/>
        <v>1</v>
      </c>
      <c r="F38" s="11">
        <f t="shared" si="2"/>
        <v>263506056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876</v>
      </c>
      <c r="E39" s="11">
        <f t="shared" si="1"/>
        <v>0</v>
      </c>
      <c r="F39" s="11">
        <f t="shared" si="2"/>
        <v>-83220000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876</v>
      </c>
      <c r="E40" s="11">
        <f t="shared" si="1"/>
        <v>0</v>
      </c>
      <c r="F40" s="11">
        <f t="shared" si="2"/>
        <v>-77178228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871</v>
      </c>
      <c r="E41" s="11">
        <f t="shared" si="1"/>
        <v>0</v>
      </c>
      <c r="F41" s="11">
        <f t="shared" si="2"/>
        <v>-104520000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849</v>
      </c>
      <c r="E42" s="11">
        <f t="shared" si="1"/>
        <v>1</v>
      </c>
      <c r="F42" s="11">
        <f t="shared" si="2"/>
        <v>848172992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845</v>
      </c>
      <c r="E43" s="11">
        <f t="shared" si="1"/>
        <v>0</v>
      </c>
      <c r="F43" s="11">
        <f t="shared" si="2"/>
        <v>-67600000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841</v>
      </c>
      <c r="E44" s="11">
        <f t="shared" si="1"/>
        <v>0</v>
      </c>
      <c r="F44" s="11">
        <f t="shared" si="2"/>
        <v>-177475389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840</v>
      </c>
      <c r="E45" s="11">
        <f t="shared" si="1"/>
        <v>0</v>
      </c>
      <c r="F45" s="11">
        <f t="shared" si="2"/>
        <v>-168000000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839</v>
      </c>
      <c r="E46" s="11">
        <f t="shared" si="1"/>
        <v>0</v>
      </c>
      <c r="F46" s="11">
        <f t="shared" si="2"/>
        <v>-79705000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837</v>
      </c>
      <c r="E47" s="11">
        <f t="shared" si="1"/>
        <v>0</v>
      </c>
      <c r="F47" s="11">
        <f t="shared" si="2"/>
        <v>-37665000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837</v>
      </c>
      <c r="E48" s="11">
        <f t="shared" si="1"/>
        <v>0</v>
      </c>
      <c r="F48" s="11">
        <f t="shared" si="2"/>
        <v>-53718660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834</v>
      </c>
      <c r="E49" s="11">
        <f t="shared" si="1"/>
        <v>0</v>
      </c>
      <c r="F49" s="11">
        <f t="shared" si="2"/>
        <v>-22921656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833</v>
      </c>
      <c r="E50" s="11">
        <f t="shared" si="1"/>
        <v>0</v>
      </c>
      <c r="F50" s="11">
        <f t="shared" si="2"/>
        <v>-117453000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833</v>
      </c>
      <c r="E51" s="11">
        <f t="shared" si="1"/>
        <v>0</v>
      </c>
      <c r="F51" s="11">
        <f t="shared" si="2"/>
        <v>-22279418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832</v>
      </c>
      <c r="E52" s="11">
        <f t="shared" si="1"/>
        <v>0</v>
      </c>
      <c r="F52" s="11">
        <f t="shared" si="2"/>
        <v>-44345600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831</v>
      </c>
      <c r="E53" s="11">
        <f t="shared" si="1"/>
        <v>1</v>
      </c>
      <c r="F53" s="11">
        <f t="shared" si="2"/>
        <v>830000000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825</v>
      </c>
      <c r="E54" s="11">
        <f t="shared" si="1"/>
        <v>0</v>
      </c>
      <c r="F54" s="11">
        <f t="shared" si="2"/>
        <v>-17325000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824</v>
      </c>
      <c r="E55" s="11">
        <f t="shared" si="1"/>
        <v>0</v>
      </c>
      <c r="F55" s="11">
        <f t="shared" si="2"/>
        <v>-807932000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824</v>
      </c>
      <c r="E56" s="11">
        <f t="shared" si="1"/>
        <v>0</v>
      </c>
      <c r="F56" s="11">
        <f t="shared" si="2"/>
        <v>-37080000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811</v>
      </c>
      <c r="E57" s="11">
        <f t="shared" si="1"/>
        <v>1</v>
      </c>
      <c r="F57" s="11">
        <f t="shared" si="2"/>
        <v>2434203090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811</v>
      </c>
      <c r="E58" s="11">
        <f t="shared" si="1"/>
        <v>1</v>
      </c>
      <c r="F58" s="11">
        <f t="shared" si="2"/>
        <v>1620000000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810</v>
      </c>
      <c r="E59" s="11">
        <f t="shared" si="1"/>
        <v>1</v>
      </c>
      <c r="F59" s="11">
        <f t="shared" si="2"/>
        <v>1618000000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810</v>
      </c>
      <c r="E60" s="11">
        <f t="shared" si="1"/>
        <v>0</v>
      </c>
      <c r="F60" s="11">
        <f t="shared" si="2"/>
        <v>-5671215000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786</v>
      </c>
      <c r="E61" s="11">
        <f t="shared" si="1"/>
        <v>1</v>
      </c>
      <c r="F61" s="11">
        <f t="shared" si="2"/>
        <v>2355000000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785</v>
      </c>
      <c r="E62" s="11">
        <f t="shared" si="1"/>
        <v>0</v>
      </c>
      <c r="F62" s="11">
        <f t="shared" si="2"/>
        <v>-21280565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785</v>
      </c>
      <c r="E63" s="11">
        <f t="shared" si="1"/>
        <v>0</v>
      </c>
      <c r="F63" s="11">
        <f t="shared" si="2"/>
        <v>-25896365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785</v>
      </c>
      <c r="E64" s="11">
        <f t="shared" si="1"/>
        <v>1</v>
      </c>
      <c r="F64" s="11">
        <f t="shared" si="2"/>
        <v>2352000000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785</v>
      </c>
      <c r="E65" s="11">
        <f t="shared" si="1"/>
        <v>1</v>
      </c>
      <c r="F65" s="11">
        <f t="shared" si="2"/>
        <v>2328480000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785</v>
      </c>
      <c r="E66" s="11">
        <f t="shared" si="1"/>
        <v>1</v>
      </c>
      <c r="F66" s="11">
        <f t="shared" si="2"/>
        <v>784000000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785</v>
      </c>
      <c r="E67" s="11">
        <f t="shared" ref="E67:E130" si="4">IF(B67&gt;0,1,0)</f>
        <v>1</v>
      </c>
      <c r="F67" s="11">
        <f t="shared" ref="F67:F248" si="5">B67*(D67-E67)</f>
        <v>23520000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784</v>
      </c>
      <c r="E68" s="11">
        <f t="shared" si="4"/>
        <v>1</v>
      </c>
      <c r="F68" s="11">
        <f t="shared" si="5"/>
        <v>23490000000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783</v>
      </c>
      <c r="E69" s="11">
        <f t="shared" si="4"/>
        <v>0</v>
      </c>
      <c r="F69" s="11">
        <f t="shared" si="5"/>
        <v>-156600000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783</v>
      </c>
      <c r="E70" s="11">
        <f t="shared" si="4"/>
        <v>1</v>
      </c>
      <c r="F70" s="11">
        <f t="shared" si="5"/>
        <v>1094800000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783</v>
      </c>
      <c r="E71" s="11">
        <f t="shared" si="4"/>
        <v>1</v>
      </c>
      <c r="F71" s="11">
        <f t="shared" si="5"/>
        <v>2033200000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783</v>
      </c>
      <c r="E72" s="11">
        <f t="shared" si="4"/>
        <v>0</v>
      </c>
      <c r="F72" s="11">
        <f t="shared" si="5"/>
        <v>-783000000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781</v>
      </c>
      <c r="E73" s="11">
        <f t="shared" si="4"/>
        <v>1</v>
      </c>
      <c r="F73" s="11">
        <f t="shared" si="5"/>
        <v>11700000000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776</v>
      </c>
      <c r="E74" s="11">
        <f t="shared" si="4"/>
        <v>0</v>
      </c>
      <c r="F74" s="11">
        <f t="shared" si="5"/>
        <v>-11643259200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774</v>
      </c>
      <c r="E75" s="11">
        <f t="shared" si="4"/>
        <v>0</v>
      </c>
      <c r="F75" s="11">
        <f t="shared" si="5"/>
        <v>-2322000000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774</v>
      </c>
      <c r="E76" s="11">
        <f t="shared" si="4"/>
        <v>0</v>
      </c>
      <c r="F76" s="11">
        <f t="shared" si="5"/>
        <v>-154800000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774</v>
      </c>
      <c r="E77" s="11">
        <f t="shared" si="4"/>
        <v>0</v>
      </c>
      <c r="F77" s="11">
        <f t="shared" si="5"/>
        <v>-9290322000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770</v>
      </c>
      <c r="E78" s="11">
        <f t="shared" si="4"/>
        <v>0</v>
      </c>
      <c r="F78" s="11">
        <f t="shared" si="5"/>
        <v>-2310693000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765</v>
      </c>
      <c r="E79" s="11">
        <f t="shared" si="4"/>
        <v>1</v>
      </c>
      <c r="F79" s="11">
        <f t="shared" si="5"/>
        <v>17572000000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760</v>
      </c>
      <c r="E80" s="11">
        <f t="shared" si="4"/>
        <v>0</v>
      </c>
      <c r="F80" s="11">
        <f t="shared" si="5"/>
        <v>-456380000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760</v>
      </c>
      <c r="E81" s="11">
        <f t="shared" si="4"/>
        <v>0</v>
      </c>
      <c r="F81" s="11">
        <f t="shared" si="5"/>
        <v>-152000000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759</v>
      </c>
      <c r="E82" s="11">
        <f t="shared" si="4"/>
        <v>1</v>
      </c>
      <c r="F82" s="11">
        <f t="shared" si="5"/>
        <v>214681518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759</v>
      </c>
      <c r="E83" s="11">
        <f t="shared" si="4"/>
        <v>0</v>
      </c>
      <c r="F83" s="11">
        <f t="shared" si="5"/>
        <v>-151800000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757</v>
      </c>
      <c r="E84" s="11">
        <f t="shared" si="4"/>
        <v>1</v>
      </c>
      <c r="F84" s="11">
        <f t="shared" si="5"/>
        <v>1512000000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754</v>
      </c>
      <c r="E85" s="11">
        <f t="shared" si="4"/>
        <v>0</v>
      </c>
      <c r="F85" s="11">
        <f t="shared" si="5"/>
        <v>-150800000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748</v>
      </c>
      <c r="E86" s="11">
        <f t="shared" si="4"/>
        <v>0</v>
      </c>
      <c r="F86" s="11">
        <f t="shared" si="5"/>
        <v>-149600000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746</v>
      </c>
      <c r="E87" s="11">
        <f t="shared" si="4"/>
        <v>0</v>
      </c>
      <c r="F87" s="11">
        <f t="shared" si="5"/>
        <v>-988450000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731</v>
      </c>
      <c r="E88" s="11">
        <f t="shared" si="4"/>
        <v>0</v>
      </c>
      <c r="F88" s="11">
        <f t="shared" si="5"/>
        <v>-365500000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731</v>
      </c>
      <c r="E89" s="11">
        <f t="shared" si="4"/>
        <v>0</v>
      </c>
      <c r="F89" s="11">
        <f t="shared" si="5"/>
        <v>-87720000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729</v>
      </c>
      <c r="E90" s="11">
        <f t="shared" si="4"/>
        <v>1</v>
      </c>
      <c r="F90" s="11">
        <f t="shared" si="5"/>
        <v>311733240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726</v>
      </c>
      <c r="E91" s="11">
        <f t="shared" si="4"/>
        <v>0</v>
      </c>
      <c r="F91" s="11">
        <f t="shared" si="5"/>
        <v>-2179452000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724</v>
      </c>
      <c r="E92" s="11">
        <f t="shared" si="4"/>
        <v>0</v>
      </c>
      <c r="F92" s="11">
        <f t="shared" si="5"/>
        <v>-148420000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724</v>
      </c>
      <c r="E93" s="11">
        <f t="shared" si="4"/>
        <v>0</v>
      </c>
      <c r="F93" s="11">
        <f t="shared" si="5"/>
        <v>-253762000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713</v>
      </c>
      <c r="E94" s="11">
        <f t="shared" si="4"/>
        <v>1</v>
      </c>
      <c r="F94" s="11">
        <f t="shared" si="5"/>
        <v>712000000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708</v>
      </c>
      <c r="E95" s="11">
        <f t="shared" si="4"/>
        <v>1</v>
      </c>
      <c r="F95" s="11">
        <f t="shared" si="5"/>
        <v>6363000000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706</v>
      </c>
      <c r="E96" s="11">
        <f t="shared" si="4"/>
        <v>0</v>
      </c>
      <c r="F96" s="11">
        <f t="shared" si="5"/>
        <v>-18356000000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706</v>
      </c>
      <c r="E97" s="11">
        <f t="shared" si="4"/>
        <v>0</v>
      </c>
      <c r="F97" s="11">
        <f t="shared" si="5"/>
        <v>-18356000000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706</v>
      </c>
      <c r="E98" s="11">
        <f t="shared" si="4"/>
        <v>1</v>
      </c>
      <c r="F98" s="11">
        <f t="shared" si="5"/>
        <v>18330000000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706</v>
      </c>
      <c r="E99" s="11">
        <f t="shared" si="4"/>
        <v>0</v>
      </c>
      <c r="F99" s="11">
        <f t="shared" si="5"/>
        <v>-141200000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704</v>
      </c>
      <c r="E100" s="11">
        <f t="shared" si="4"/>
        <v>1</v>
      </c>
      <c r="F100" s="11">
        <f t="shared" si="5"/>
        <v>20527600000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699</v>
      </c>
      <c r="E101" s="11">
        <f t="shared" si="4"/>
        <v>1</v>
      </c>
      <c r="F101" s="11">
        <f t="shared" si="5"/>
        <v>279161610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698</v>
      </c>
      <c r="E102" s="11">
        <f t="shared" si="4"/>
        <v>1</v>
      </c>
      <c r="F102" s="11">
        <f t="shared" si="5"/>
        <v>1394000000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697</v>
      </c>
      <c r="E103" s="11">
        <f t="shared" si="4"/>
        <v>1</v>
      </c>
      <c r="F103" s="11">
        <f t="shared" si="5"/>
        <v>5220000000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697</v>
      </c>
      <c r="E104" s="11">
        <f t="shared" si="4"/>
        <v>0</v>
      </c>
      <c r="F104" s="11">
        <f t="shared" si="5"/>
        <v>-46002000000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697</v>
      </c>
      <c r="E105" s="11">
        <f t="shared" si="4"/>
        <v>0</v>
      </c>
      <c r="F105" s="11">
        <f t="shared" si="5"/>
        <v>-101065000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695</v>
      </c>
      <c r="E106" s="11">
        <f t="shared" si="4"/>
        <v>1</v>
      </c>
      <c r="F106" s="11">
        <f t="shared" si="5"/>
        <v>4164000000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693</v>
      </c>
      <c r="E107" s="11">
        <f t="shared" si="4"/>
        <v>0</v>
      </c>
      <c r="F107" s="11">
        <f t="shared" si="5"/>
        <v>-4162088700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690</v>
      </c>
      <c r="E108" s="11">
        <f t="shared" si="4"/>
        <v>1</v>
      </c>
      <c r="F108" s="11">
        <f t="shared" si="5"/>
        <v>4134000000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678</v>
      </c>
      <c r="E109" s="11">
        <f t="shared" si="4"/>
        <v>0</v>
      </c>
      <c r="F109" s="11">
        <f t="shared" si="5"/>
        <v>-81360000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677</v>
      </c>
      <c r="E110" s="11">
        <f t="shared" si="4"/>
        <v>1</v>
      </c>
      <c r="F110" s="11">
        <f t="shared" si="5"/>
        <v>2704000000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676</v>
      </c>
      <c r="E111" s="11">
        <f t="shared" si="4"/>
        <v>1</v>
      </c>
      <c r="F111" s="11">
        <f t="shared" si="5"/>
        <v>1890000000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672</v>
      </c>
      <c r="E112" s="11">
        <f t="shared" si="4"/>
        <v>0</v>
      </c>
      <c r="F112" s="11">
        <f t="shared" si="5"/>
        <v>-134400000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671</v>
      </c>
      <c r="E113" s="11">
        <f t="shared" si="4"/>
        <v>1</v>
      </c>
      <c r="F113" s="11">
        <f t="shared" si="5"/>
        <v>48447700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654</v>
      </c>
      <c r="E114" s="11">
        <f t="shared" si="4"/>
        <v>0</v>
      </c>
      <c r="F114" s="11">
        <f t="shared" si="5"/>
        <v>-130800000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653</v>
      </c>
      <c r="E115" s="11">
        <f t="shared" si="4"/>
        <v>0</v>
      </c>
      <c r="F115" s="23">
        <f t="shared" si="5"/>
        <v>-7183000000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653</v>
      </c>
      <c r="E116" s="11">
        <f t="shared" si="4"/>
        <v>0</v>
      </c>
      <c r="F116" s="11">
        <f t="shared" si="5"/>
        <v>-130600000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651</v>
      </c>
      <c r="E117" s="11">
        <f t="shared" si="4"/>
        <v>0</v>
      </c>
      <c r="F117" s="11">
        <f t="shared" si="5"/>
        <v>-293275500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651</v>
      </c>
      <c r="E118" s="11">
        <f t="shared" si="4"/>
        <v>0</v>
      </c>
      <c r="F118" s="11">
        <f t="shared" si="5"/>
        <v>-130200000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645</v>
      </c>
      <c r="E119" s="11">
        <f t="shared" si="4"/>
        <v>0</v>
      </c>
      <c r="F119" s="11">
        <f t="shared" si="5"/>
        <v>-99684750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645</v>
      </c>
      <c r="E120" s="11">
        <f t="shared" si="4"/>
        <v>0</v>
      </c>
      <c r="F120" s="11">
        <f t="shared" si="5"/>
        <v>-206400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644</v>
      </c>
      <c r="E121" s="11">
        <f t="shared" si="4"/>
        <v>0</v>
      </c>
      <c r="F121" s="11">
        <f t="shared" si="5"/>
        <v>-278208000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638</v>
      </c>
      <c r="E122" s="11">
        <f t="shared" si="4"/>
        <v>1</v>
      </c>
      <c r="F122" s="11">
        <f t="shared" si="5"/>
        <v>47165391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617</v>
      </c>
      <c r="E123" s="11">
        <f t="shared" si="4"/>
        <v>0</v>
      </c>
      <c r="F123" s="11">
        <f t="shared" si="5"/>
        <v>-32084000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576</v>
      </c>
      <c r="E124" s="11">
        <f t="shared" si="4"/>
        <v>1</v>
      </c>
      <c r="F124" s="11">
        <f t="shared" si="5"/>
        <v>682525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575</v>
      </c>
      <c r="E125" s="11">
        <f t="shared" si="4"/>
        <v>1</v>
      </c>
      <c r="F125" s="11">
        <f t="shared" si="5"/>
        <v>1377600000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573</v>
      </c>
      <c r="E126" s="11">
        <f t="shared" si="4"/>
        <v>1</v>
      </c>
      <c r="F126" s="11">
        <f t="shared" si="5"/>
        <v>768081600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573</v>
      </c>
      <c r="E127" s="11">
        <f t="shared" si="4"/>
        <v>1</v>
      </c>
      <c r="F127" s="11">
        <f t="shared" si="5"/>
        <v>768081600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561</v>
      </c>
      <c r="E128" s="11">
        <f t="shared" si="4"/>
        <v>0</v>
      </c>
      <c r="F128" s="11">
        <f t="shared" si="5"/>
        <v>-112200000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559</v>
      </c>
      <c r="E129" s="11">
        <f t="shared" si="4"/>
        <v>0</v>
      </c>
      <c r="F129" s="11">
        <f>B129*(D129-E129)</f>
        <v>-8730462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558</v>
      </c>
      <c r="E130" s="11">
        <f t="shared" si="4"/>
        <v>0</v>
      </c>
      <c r="F130" s="11">
        <f t="shared" si="5"/>
        <v>-111600000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557</v>
      </c>
      <c r="E131" s="11">
        <f t="shared" ref="E131:E248" si="7">IF(B131&gt;0,1,0)</f>
        <v>0</v>
      </c>
      <c r="F131" s="11">
        <f t="shared" si="5"/>
        <v>-111400000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556</v>
      </c>
      <c r="E132" s="11">
        <f t="shared" si="7"/>
        <v>0</v>
      </c>
      <c r="F132" s="11">
        <f t="shared" si="5"/>
        <v>-216840000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556</v>
      </c>
      <c r="E133" s="11">
        <f t="shared" si="7"/>
        <v>0</v>
      </c>
      <c r="F133" s="11">
        <f t="shared" si="5"/>
        <v>-13622000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555</v>
      </c>
      <c r="E134" s="11">
        <f t="shared" si="7"/>
        <v>0</v>
      </c>
      <c r="F134" s="11">
        <f t="shared" si="5"/>
        <v>-52725000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551</v>
      </c>
      <c r="E135" s="11">
        <f t="shared" si="7"/>
        <v>0</v>
      </c>
      <c r="F135" s="11">
        <f t="shared" si="5"/>
        <v>-110200000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549</v>
      </c>
      <c r="E136" s="11">
        <f t="shared" si="7"/>
        <v>1</v>
      </c>
      <c r="F136" s="11">
        <f t="shared" si="5"/>
        <v>27400000000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548</v>
      </c>
      <c r="E137" s="11">
        <f t="shared" si="7"/>
        <v>1</v>
      </c>
      <c r="F137" s="11">
        <f t="shared" si="5"/>
        <v>6564000000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546</v>
      </c>
      <c r="E138" s="11">
        <f t="shared" si="7"/>
        <v>1</v>
      </c>
      <c r="F138" s="11">
        <f t="shared" si="5"/>
        <v>1090000000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545</v>
      </c>
      <c r="E139" s="11">
        <f t="shared" si="7"/>
        <v>1</v>
      </c>
      <c r="F139" s="11">
        <f t="shared" si="5"/>
        <v>47620672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532</v>
      </c>
      <c r="E140" s="11">
        <f t="shared" si="7"/>
        <v>0</v>
      </c>
      <c r="F140" s="11">
        <f t="shared" si="5"/>
        <v>-1596478800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531</v>
      </c>
      <c r="E141" s="11">
        <f t="shared" si="7"/>
        <v>0</v>
      </c>
      <c r="F141" s="11">
        <f t="shared" si="5"/>
        <v>-1593477900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514</v>
      </c>
      <c r="E142" s="11">
        <f t="shared" si="7"/>
        <v>1</v>
      </c>
      <c r="F142" s="11">
        <f t="shared" si="5"/>
        <v>308838825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514</v>
      </c>
      <c r="E143" s="11">
        <f t="shared" si="7"/>
        <v>0</v>
      </c>
      <c r="F143" s="11">
        <f t="shared" si="5"/>
        <v>-23644000000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483</v>
      </c>
      <c r="E144" s="11">
        <f t="shared" si="7"/>
        <v>1</v>
      </c>
      <c r="F144" s="11">
        <f t="shared" si="5"/>
        <v>74279574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482</v>
      </c>
      <c r="E145" s="11">
        <f t="shared" si="7"/>
        <v>1</v>
      </c>
      <c r="F145" s="11">
        <f t="shared" si="5"/>
        <v>1443000000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479</v>
      </c>
      <c r="E146" s="11">
        <f t="shared" si="7"/>
        <v>0</v>
      </c>
      <c r="F146" s="11">
        <f t="shared" si="5"/>
        <v>-95800000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474</v>
      </c>
      <c r="E147" s="11">
        <f t="shared" si="7"/>
        <v>0</v>
      </c>
      <c r="F147" s="11">
        <f t="shared" si="5"/>
        <v>-94800000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473</v>
      </c>
      <c r="E148" s="11">
        <f t="shared" si="7"/>
        <v>0</v>
      </c>
      <c r="F148" s="11">
        <f t="shared" si="5"/>
        <v>-94600000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469</v>
      </c>
      <c r="E149" s="11">
        <f t="shared" si="7"/>
        <v>0</v>
      </c>
      <c r="F149" s="11">
        <f t="shared" si="5"/>
        <v>-93800000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468</v>
      </c>
      <c r="E150" s="11">
        <f t="shared" si="7"/>
        <v>1</v>
      </c>
      <c r="F150" s="11">
        <f t="shared" si="5"/>
        <v>11242277800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466</v>
      </c>
      <c r="E151" s="11">
        <f t="shared" si="7"/>
        <v>0</v>
      </c>
      <c r="F151" s="11">
        <f t="shared" si="5"/>
        <v>-93200000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460</v>
      </c>
      <c r="E152" s="11">
        <f t="shared" si="7"/>
        <v>0</v>
      </c>
      <c r="F152" s="11">
        <f t="shared" si="5"/>
        <v>-13800000000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459</v>
      </c>
      <c r="E153" s="11">
        <f t="shared" si="7"/>
        <v>0</v>
      </c>
      <c r="F153" s="11">
        <f t="shared" si="5"/>
        <v>-23868000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459</v>
      </c>
      <c r="E154" s="11">
        <f t="shared" si="7"/>
        <v>0</v>
      </c>
      <c r="F154" s="11">
        <f t="shared" si="5"/>
        <v>-62424000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454</v>
      </c>
      <c r="E155" s="11">
        <f t="shared" si="7"/>
        <v>1</v>
      </c>
      <c r="F155" s="11">
        <f t="shared" si="5"/>
        <v>1359000000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453</v>
      </c>
      <c r="E156" s="11">
        <f t="shared" si="7"/>
        <v>1</v>
      </c>
      <c r="F156" s="11">
        <f t="shared" si="5"/>
        <v>85474556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453</v>
      </c>
      <c r="E157" s="11">
        <f t="shared" si="7"/>
        <v>1</v>
      </c>
      <c r="F157" s="11">
        <f t="shared" si="5"/>
        <v>10950920400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445</v>
      </c>
      <c r="E158" s="11">
        <f t="shared" si="7"/>
        <v>1</v>
      </c>
      <c r="F158" s="11">
        <f t="shared" si="5"/>
        <v>10787068800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445</v>
      </c>
      <c r="E159" s="11">
        <f t="shared" si="7"/>
        <v>0</v>
      </c>
      <c r="F159" s="11">
        <f t="shared" si="5"/>
        <v>-89445000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440</v>
      </c>
      <c r="E160" s="11">
        <f t="shared" si="7"/>
        <v>0</v>
      </c>
      <c r="F160" s="11">
        <f t="shared" si="5"/>
        <v>-88000000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437</v>
      </c>
      <c r="E161" s="11">
        <f t="shared" si="7"/>
        <v>0</v>
      </c>
      <c r="F161" s="11">
        <f t="shared" si="5"/>
        <v>-87400000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433</v>
      </c>
      <c r="E162" s="11">
        <f t="shared" si="7"/>
        <v>0</v>
      </c>
      <c r="F162" s="11">
        <f t="shared" si="5"/>
        <v>-86600000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430</v>
      </c>
      <c r="E163" s="11">
        <f t="shared" si="7"/>
        <v>0</v>
      </c>
      <c r="F163" s="11">
        <f t="shared" si="5"/>
        <v>-86000000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423</v>
      </c>
      <c r="E164" s="11">
        <f t="shared" si="7"/>
        <v>1</v>
      </c>
      <c r="F164" s="11">
        <f t="shared" si="5"/>
        <v>193138428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420</v>
      </c>
      <c r="E165" s="11">
        <f t="shared" si="7"/>
        <v>1</v>
      </c>
      <c r="F165" s="11">
        <f t="shared" si="5"/>
        <v>1131300000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420</v>
      </c>
      <c r="E166" s="11">
        <f t="shared" si="7"/>
        <v>1</v>
      </c>
      <c r="F166" s="11">
        <f t="shared" si="5"/>
        <v>1047500000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413</v>
      </c>
      <c r="E167" s="11">
        <f t="shared" si="7"/>
        <v>0</v>
      </c>
      <c r="F167" s="11">
        <f t="shared" si="5"/>
        <v>-82600000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411</v>
      </c>
      <c r="E168" s="11">
        <f t="shared" si="7"/>
        <v>0</v>
      </c>
      <c r="F168" s="11">
        <f t="shared" si="5"/>
        <v>-82200000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405</v>
      </c>
      <c r="E169" s="11">
        <f t="shared" si="7"/>
        <v>0</v>
      </c>
      <c r="F169" s="11">
        <f t="shared" si="5"/>
        <v>-81000000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402</v>
      </c>
      <c r="E170" s="11">
        <f t="shared" si="7"/>
        <v>0</v>
      </c>
      <c r="F170" s="11">
        <f t="shared" si="5"/>
        <v>-80400000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402</v>
      </c>
      <c r="E171" s="11">
        <f t="shared" si="7"/>
        <v>1</v>
      </c>
      <c r="F171" s="11">
        <f t="shared" si="5"/>
        <v>1203000000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399</v>
      </c>
      <c r="E172" s="11">
        <f t="shared" si="7"/>
        <v>0</v>
      </c>
      <c r="F172" s="11">
        <f t="shared" si="5"/>
        <v>-79800000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398</v>
      </c>
      <c r="E173" s="11">
        <f t="shared" si="7"/>
        <v>1</v>
      </c>
      <c r="F173" s="11">
        <f t="shared" si="5"/>
        <v>1191000000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397</v>
      </c>
      <c r="E174" s="11">
        <f t="shared" si="7"/>
        <v>1</v>
      </c>
      <c r="F174" s="11">
        <f t="shared" si="5"/>
        <v>792000000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396</v>
      </c>
      <c r="E175" s="11">
        <f t="shared" si="7"/>
        <v>1</v>
      </c>
      <c r="F175" s="11">
        <f t="shared" si="5"/>
        <v>513500000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394</v>
      </c>
      <c r="E176" s="11">
        <f t="shared" si="7"/>
        <v>0</v>
      </c>
      <c r="F176" s="11">
        <f t="shared" si="5"/>
        <v>-78800000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394</v>
      </c>
      <c r="E177" s="11">
        <f t="shared" si="7"/>
        <v>1</v>
      </c>
      <c r="F177" s="11">
        <f t="shared" si="5"/>
        <v>668100000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393</v>
      </c>
      <c r="E178" s="11">
        <f t="shared" si="7"/>
        <v>0</v>
      </c>
      <c r="F178" s="11">
        <f t="shared" si="5"/>
        <v>-78600000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392</v>
      </c>
      <c r="E179" s="11">
        <f t="shared" si="7"/>
        <v>1</v>
      </c>
      <c r="F179" s="11">
        <f t="shared" si="5"/>
        <v>223453372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389</v>
      </c>
      <c r="E180" s="11">
        <f t="shared" si="7"/>
        <v>1</v>
      </c>
      <c r="F180" s="11">
        <f t="shared" si="5"/>
        <v>1164000000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382</v>
      </c>
      <c r="E181" s="11">
        <f t="shared" si="7"/>
        <v>1</v>
      </c>
      <c r="F181" s="11">
        <f t="shared" si="5"/>
        <v>762000000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374</v>
      </c>
      <c r="E182" s="11">
        <f t="shared" si="7"/>
        <v>0</v>
      </c>
      <c r="F182" s="11">
        <f t="shared" si="5"/>
        <v>-823061800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362</v>
      </c>
      <c r="E183" s="11">
        <f t="shared" si="7"/>
        <v>1</v>
      </c>
      <c r="F183" s="11">
        <f t="shared" si="5"/>
        <v>243706407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332</v>
      </c>
      <c r="E184" s="11">
        <f t="shared" si="7"/>
        <v>1</v>
      </c>
      <c r="F184" s="11">
        <f t="shared" si="5"/>
        <v>224087000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317</v>
      </c>
      <c r="E185" s="11">
        <f t="shared" si="7"/>
        <v>0</v>
      </c>
      <c r="F185" s="11">
        <f t="shared" si="5"/>
        <v>-3170000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312</v>
      </c>
      <c r="E186" s="11">
        <f t="shared" si="7"/>
        <v>0</v>
      </c>
      <c r="F186" s="11">
        <f t="shared" si="5"/>
        <v>-25116000000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307</v>
      </c>
      <c r="E187" s="11">
        <f t="shared" si="7"/>
        <v>0</v>
      </c>
      <c r="F187" s="11">
        <f t="shared" si="5"/>
        <v>-337700000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307</v>
      </c>
      <c r="E188" s="11">
        <f t="shared" si="7"/>
        <v>1</v>
      </c>
      <c r="F188" s="11">
        <f t="shared" si="5"/>
        <v>918000000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306</v>
      </c>
      <c r="E189" s="11">
        <f t="shared" si="7"/>
        <v>1</v>
      </c>
      <c r="F189" s="11">
        <f t="shared" si="5"/>
        <v>610000000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306</v>
      </c>
      <c r="E190" s="11">
        <f t="shared" si="7"/>
        <v>0</v>
      </c>
      <c r="F190" s="11">
        <f t="shared" si="5"/>
        <v>-1530000000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305</v>
      </c>
      <c r="E191" s="11">
        <f t="shared" si="7"/>
        <v>1</v>
      </c>
      <c r="F191" s="11">
        <f t="shared" si="5"/>
        <v>146907392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301</v>
      </c>
      <c r="E192" s="11">
        <f t="shared" si="7"/>
        <v>0</v>
      </c>
      <c r="F192" s="11">
        <f t="shared" si="5"/>
        <v>-34705300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297</v>
      </c>
      <c r="E193" s="11">
        <f t="shared" si="7"/>
        <v>1</v>
      </c>
      <c r="F193" s="11">
        <f t="shared" si="5"/>
        <v>26640000000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290</v>
      </c>
      <c r="E194" s="11">
        <f t="shared" si="7"/>
        <v>1</v>
      </c>
      <c r="F194" s="11">
        <f t="shared" si="5"/>
        <v>15028000000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290</v>
      </c>
      <c r="E195" s="11">
        <f t="shared" si="7"/>
        <v>1</v>
      </c>
      <c r="F195" s="99">
        <f t="shared" si="5"/>
        <v>7225000000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290</v>
      </c>
      <c r="E196" s="99">
        <f t="shared" si="7"/>
        <v>0</v>
      </c>
      <c r="F196" s="99">
        <f t="shared" si="5"/>
        <v>-48720000000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283</v>
      </c>
      <c r="E197" s="99">
        <f t="shared" si="7"/>
        <v>0</v>
      </c>
      <c r="F197" s="99">
        <f t="shared" si="5"/>
        <v>-46836500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279</v>
      </c>
      <c r="E198" s="99">
        <f t="shared" si="7"/>
        <v>0</v>
      </c>
      <c r="F198" s="99">
        <f t="shared" si="5"/>
        <v>-55800000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279</v>
      </c>
      <c r="E199" s="99">
        <f t="shared" si="7"/>
        <v>0</v>
      </c>
      <c r="F199" s="99">
        <f t="shared" si="5"/>
        <v>-13107699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276</v>
      </c>
      <c r="E200" s="99">
        <f t="shared" si="7"/>
        <v>0</v>
      </c>
      <c r="F200" s="99">
        <f t="shared" si="5"/>
        <v>-1283400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274</v>
      </c>
      <c r="E201" s="99">
        <f t="shared" si="7"/>
        <v>1</v>
      </c>
      <c r="F201" s="99">
        <f t="shared" si="5"/>
        <v>43633044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271</v>
      </c>
      <c r="E202" s="99">
        <f t="shared" si="7"/>
        <v>0</v>
      </c>
      <c r="F202" s="99">
        <f t="shared" si="5"/>
        <v>-81435500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271</v>
      </c>
      <c r="E203" s="99">
        <f t="shared" si="7"/>
        <v>1</v>
      </c>
      <c r="F203" s="99">
        <f t="shared" si="5"/>
        <v>1620000000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269</v>
      </c>
      <c r="E204" s="99">
        <f t="shared" si="7"/>
        <v>0</v>
      </c>
      <c r="F204" s="99">
        <f t="shared" si="5"/>
        <v>-184265000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268</v>
      </c>
      <c r="E205" s="99">
        <f t="shared" si="7"/>
        <v>0</v>
      </c>
      <c r="F205" s="99">
        <f t="shared" si="5"/>
        <v>-804000000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267</v>
      </c>
      <c r="E206" s="99">
        <f t="shared" si="7"/>
        <v>0</v>
      </c>
      <c r="F206" s="99">
        <f t="shared" si="5"/>
        <v>-41652000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266</v>
      </c>
      <c r="E207" s="99">
        <f t="shared" si="7"/>
        <v>0</v>
      </c>
      <c r="F207" s="99">
        <f t="shared" si="5"/>
        <v>-17556000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265</v>
      </c>
      <c r="E208" s="99">
        <f t="shared" si="7"/>
        <v>0</v>
      </c>
      <c r="F208" s="99">
        <f t="shared" si="5"/>
        <v>-662738500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263</v>
      </c>
      <c r="E209" s="99">
        <f t="shared" si="7"/>
        <v>1</v>
      </c>
      <c r="F209" s="99">
        <f t="shared" si="5"/>
        <v>786000000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263</v>
      </c>
      <c r="E210" s="99">
        <f t="shared" si="7"/>
        <v>0</v>
      </c>
      <c r="F210" s="99">
        <f t="shared" si="5"/>
        <v>-684168200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261</v>
      </c>
      <c r="E211" s="99">
        <f t="shared" si="7"/>
        <v>1</v>
      </c>
      <c r="F211" s="99">
        <f t="shared" si="5"/>
        <v>260000000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259</v>
      </c>
      <c r="E212" s="99">
        <f t="shared" si="7"/>
        <v>1</v>
      </c>
      <c r="F212" s="99">
        <f t="shared" si="5"/>
        <v>348300000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258</v>
      </c>
      <c r="E213" s="99">
        <f t="shared" si="7"/>
        <v>0</v>
      </c>
      <c r="F213" s="99">
        <f t="shared" si="5"/>
        <v>-567600000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258</v>
      </c>
      <c r="E214" s="99">
        <f t="shared" si="7"/>
        <v>0</v>
      </c>
      <c r="F214" s="99">
        <f t="shared" si="5"/>
        <v>-129129000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255</v>
      </c>
      <c r="E215" s="99">
        <f t="shared" si="7"/>
        <v>0</v>
      </c>
      <c r="F215" s="99">
        <f t="shared" si="5"/>
        <v>-11475000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255</v>
      </c>
      <c r="E216" s="99">
        <f t="shared" si="7"/>
        <v>1</v>
      </c>
      <c r="F216" s="99">
        <f t="shared" si="5"/>
        <v>254000000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255</v>
      </c>
      <c r="E217" s="99">
        <f t="shared" si="7"/>
        <v>0</v>
      </c>
      <c r="F217" s="99">
        <f t="shared" si="5"/>
        <v>-25500000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254</v>
      </c>
      <c r="E218" s="99">
        <f t="shared" si="7"/>
        <v>0</v>
      </c>
      <c r="F218" s="99">
        <f t="shared" si="5"/>
        <v>-76200000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251</v>
      </c>
      <c r="E219" s="99">
        <f t="shared" si="7"/>
        <v>0</v>
      </c>
      <c r="F219" s="99">
        <f t="shared" si="5"/>
        <v>-12778410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251</v>
      </c>
      <c r="E220" s="99">
        <f t="shared" si="7"/>
        <v>0</v>
      </c>
      <c r="F220" s="99">
        <f t="shared" si="5"/>
        <v>-138175500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249</v>
      </c>
      <c r="E221" s="99">
        <f t="shared" si="7"/>
        <v>1</v>
      </c>
      <c r="F221" s="99">
        <f t="shared" si="5"/>
        <v>396800000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248</v>
      </c>
      <c r="E222" s="99">
        <f t="shared" si="7"/>
        <v>0</v>
      </c>
      <c r="F222" s="99">
        <f t="shared" si="5"/>
        <v>-372173600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243</v>
      </c>
      <c r="E223" s="99">
        <f t="shared" si="7"/>
        <v>1</v>
      </c>
      <c r="F223" s="99">
        <f t="shared" si="5"/>
        <v>2085798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240</v>
      </c>
      <c r="E224" s="99">
        <f t="shared" si="7"/>
        <v>1</v>
      </c>
      <c r="F224" s="99">
        <f t="shared" si="5"/>
        <v>717000000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238</v>
      </c>
      <c r="E225" s="99">
        <f t="shared" si="7"/>
        <v>0</v>
      </c>
      <c r="F225" s="99">
        <f t="shared" si="5"/>
        <v>-714214200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237</v>
      </c>
      <c r="E226" s="99">
        <f t="shared" si="7"/>
        <v>1</v>
      </c>
      <c r="F226" s="99">
        <f t="shared" si="5"/>
        <v>708000000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237</v>
      </c>
      <c r="E227" s="99">
        <f t="shared" si="7"/>
        <v>0</v>
      </c>
      <c r="F227" s="99">
        <f t="shared" si="5"/>
        <v>-41569800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236</v>
      </c>
      <c r="E228" s="99">
        <f t="shared" si="7"/>
        <v>0</v>
      </c>
      <c r="F228" s="99">
        <f t="shared" si="5"/>
        <v>-283318000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236</v>
      </c>
      <c r="E229" s="99">
        <f t="shared" si="7"/>
        <v>0</v>
      </c>
      <c r="F229" s="99">
        <f t="shared" si="5"/>
        <v>-4850980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235</v>
      </c>
      <c r="E230" s="99">
        <f t="shared" si="7"/>
        <v>0</v>
      </c>
      <c r="F230" s="99">
        <f t="shared" si="5"/>
        <v>-238399510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234</v>
      </c>
      <c r="E231" s="99">
        <f t="shared" si="7"/>
        <v>0</v>
      </c>
      <c r="F231" s="99">
        <f t="shared" si="5"/>
        <v>-5668650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233</v>
      </c>
      <c r="E232" s="99">
        <f t="shared" si="7"/>
        <v>1</v>
      </c>
      <c r="F232" s="99">
        <f t="shared" si="5"/>
        <v>255200000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233</v>
      </c>
      <c r="E233" s="99">
        <f t="shared" si="7"/>
        <v>0</v>
      </c>
      <c r="F233" s="99">
        <f t="shared" si="5"/>
        <v>-34460700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229</v>
      </c>
      <c r="E234" s="99">
        <f t="shared" si="7"/>
        <v>0</v>
      </c>
      <c r="F234" s="99">
        <f t="shared" si="5"/>
        <v>-15563985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224</v>
      </c>
      <c r="E235" s="99">
        <f t="shared" si="7"/>
        <v>0</v>
      </c>
      <c r="F235" s="99">
        <f t="shared" si="5"/>
        <v>-25700416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223</v>
      </c>
      <c r="E236" s="99">
        <f t="shared" si="7"/>
        <v>0</v>
      </c>
      <c r="F236" s="99">
        <f t="shared" si="5"/>
        <v>-80280000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223</v>
      </c>
      <c r="E237" s="99">
        <f t="shared" si="7"/>
        <v>0</v>
      </c>
      <c r="F237" s="99">
        <f t="shared" si="5"/>
        <v>-47053000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223</v>
      </c>
      <c r="E238" s="99">
        <f t="shared" si="7"/>
        <v>0</v>
      </c>
      <c r="F238" s="99">
        <f t="shared" si="5"/>
        <v>-42303100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222</v>
      </c>
      <c r="E239" s="99">
        <f t="shared" si="7"/>
        <v>0</v>
      </c>
      <c r="F239" s="99">
        <f t="shared" si="5"/>
        <v>-88911000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222</v>
      </c>
      <c r="E240" s="99">
        <f t="shared" si="7"/>
        <v>1</v>
      </c>
      <c r="F240" s="99">
        <f t="shared" si="5"/>
        <v>88400000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219</v>
      </c>
      <c r="E241" s="99">
        <f t="shared" si="7"/>
        <v>0</v>
      </c>
      <c r="F241" s="99">
        <f t="shared" si="5"/>
        <v>-70271625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212</v>
      </c>
      <c r="E242" s="99">
        <f t="shared" si="7"/>
        <v>1</v>
      </c>
      <c r="F242" s="99">
        <f t="shared" si="5"/>
        <v>1281614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210</v>
      </c>
      <c r="E243" s="99">
        <f t="shared" si="7"/>
        <v>0</v>
      </c>
      <c r="F243" s="99">
        <f t="shared" si="5"/>
        <v>-77805000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195</v>
      </c>
      <c r="E244" s="99">
        <f t="shared" si="7"/>
        <v>1</v>
      </c>
      <c r="F244" s="99">
        <f t="shared" si="5"/>
        <v>582000000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193</v>
      </c>
      <c r="E245" s="99">
        <f t="shared" si="7"/>
        <v>0</v>
      </c>
      <c r="F245" s="99">
        <f t="shared" si="5"/>
        <v>-15440000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192</v>
      </c>
      <c r="E246" s="99">
        <f t="shared" si="7"/>
        <v>0</v>
      </c>
      <c r="F246" s="99">
        <f t="shared" si="5"/>
        <v>-518400000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192</v>
      </c>
      <c r="E247" s="99">
        <f t="shared" si="7"/>
        <v>0</v>
      </c>
      <c r="F247" s="99">
        <f t="shared" si="5"/>
        <v>-5760000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190</v>
      </c>
      <c r="E248" s="99">
        <f t="shared" si="7"/>
        <v>0</v>
      </c>
      <c r="F248" s="99">
        <f t="shared" si="5"/>
        <v>-22800000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189</v>
      </c>
      <c r="E249" s="99">
        <f>IF(B250&gt;0,1,0)</f>
        <v>1</v>
      </c>
      <c r="F249" s="99">
        <f>B250*(D249-E249)</f>
        <v>150400000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188</v>
      </c>
      <c r="E250" s="99">
        <f>IF(B251&gt;0,1,0)</f>
        <v>0</v>
      </c>
      <c r="F250" s="99">
        <f>B251*(D250-E250)</f>
        <v>-3656600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187</v>
      </c>
      <c r="E251" s="99">
        <f>IF(B252&gt;0,1,0)</f>
        <v>0</v>
      </c>
      <c r="F251" s="99">
        <f>B252*(D251-E251)</f>
        <v>-93500000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187</v>
      </c>
      <c r="E252" s="99">
        <f>IF(B253&gt;0,1,0)</f>
        <v>1</v>
      </c>
      <c r="F252" s="99">
        <f>B253*(D252-E252)</f>
        <v>93000000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187</v>
      </c>
      <c r="E253" s="99">
        <f t="shared" ref="E253:E278" si="9">IF(B254&gt;0,1,0)</f>
        <v>0</v>
      </c>
      <c r="F253" s="99">
        <f>B254*(D253-E253)</f>
        <v>-85012631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187</v>
      </c>
      <c r="E254" s="99">
        <f t="shared" si="9"/>
        <v>0</v>
      </c>
      <c r="F254" s="99">
        <f t="shared" ref="F254:F278" si="10">B255*(D254-E254)</f>
        <v>-3665200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186</v>
      </c>
      <c r="E255" s="99">
        <f t="shared" si="9"/>
        <v>0</v>
      </c>
      <c r="F255" s="99">
        <f t="shared" si="10"/>
        <v>-4690920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186</v>
      </c>
      <c r="E256" s="99">
        <f t="shared" si="9"/>
        <v>0</v>
      </c>
      <c r="F256" s="99">
        <f t="shared" si="10"/>
        <v>-27807000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185</v>
      </c>
      <c r="E257" s="99">
        <f t="shared" si="9"/>
        <v>0</v>
      </c>
      <c r="F257" s="99">
        <f t="shared" si="10"/>
        <v>-28675000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185</v>
      </c>
      <c r="E258" s="99">
        <f t="shared" si="9"/>
        <v>0</v>
      </c>
      <c r="F258" s="99">
        <f t="shared" si="10"/>
        <v>-925000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103</v>
      </c>
      <c r="E259" s="99">
        <f t="shared" si="9"/>
        <v>1</v>
      </c>
      <c r="F259" s="99">
        <f t="shared" si="10"/>
        <v>10200000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21</v>
      </c>
      <c r="E260" s="99">
        <f t="shared" si="9"/>
        <v>1</v>
      </c>
      <c r="F260" s="99">
        <f t="shared" si="10"/>
        <v>60000000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20</v>
      </c>
      <c r="E261" s="99">
        <f t="shared" si="9"/>
        <v>0</v>
      </c>
      <c r="F261" s="99">
        <f t="shared" si="10"/>
        <v>-1330000</v>
      </c>
      <c r="G261" s="99" t="s">
        <v>3892</v>
      </c>
    </row>
    <row r="262" spans="1:11">
      <c r="A262" s="99" t="s">
        <v>4619</v>
      </c>
      <c r="B262" s="113">
        <v>-66500</v>
      </c>
      <c r="C262" s="99">
        <v>2</v>
      </c>
      <c r="D262" s="99">
        <f t="shared" si="8"/>
        <v>17</v>
      </c>
      <c r="E262" s="99">
        <f t="shared" si="9"/>
        <v>0</v>
      </c>
      <c r="F262" s="99">
        <f t="shared" si="10"/>
        <v>-643926</v>
      </c>
      <c r="G262" s="99" t="s">
        <v>3965</v>
      </c>
      <c r="K262" t="s">
        <v>25</v>
      </c>
    </row>
    <row r="263" spans="1:11">
      <c r="A263" s="99" t="s">
        <v>4620</v>
      </c>
      <c r="B263" s="113">
        <v>-37878</v>
      </c>
      <c r="C263" s="99">
        <v>2</v>
      </c>
      <c r="D263" s="99">
        <f t="shared" si="8"/>
        <v>15</v>
      </c>
      <c r="E263" s="99">
        <f t="shared" si="9"/>
        <v>0</v>
      </c>
      <c r="F263" s="99">
        <f t="shared" si="10"/>
        <v>-622500</v>
      </c>
      <c r="G263" s="99" t="s">
        <v>4621</v>
      </c>
      <c r="J263" t="s">
        <v>25</v>
      </c>
      <c r="K263" t="s">
        <v>25</v>
      </c>
    </row>
    <row r="264" spans="1:11">
      <c r="A264" s="99" t="s">
        <v>4614</v>
      </c>
      <c r="B264" s="113">
        <v>-41500</v>
      </c>
      <c r="C264" s="99">
        <v>3</v>
      </c>
      <c r="D264" s="99">
        <f t="shared" si="8"/>
        <v>13</v>
      </c>
      <c r="E264" s="99">
        <f t="shared" si="9"/>
        <v>0</v>
      </c>
      <c r="F264" s="99">
        <f t="shared" si="10"/>
        <v>-2470000</v>
      </c>
      <c r="G264" s="99" t="s">
        <v>1039</v>
      </c>
      <c r="J264" t="s">
        <v>25</v>
      </c>
    </row>
    <row r="265" spans="1:11">
      <c r="A265" s="99" t="s">
        <v>4654</v>
      </c>
      <c r="B265" s="113">
        <v>-190000</v>
      </c>
      <c r="C265" s="99">
        <v>1</v>
      </c>
      <c r="D265" s="99">
        <f t="shared" si="8"/>
        <v>10</v>
      </c>
      <c r="E265" s="99">
        <f t="shared" si="9"/>
        <v>0</v>
      </c>
      <c r="F265" s="99">
        <f t="shared" si="10"/>
        <v>-550000</v>
      </c>
      <c r="G265" s="99"/>
    </row>
    <row r="266" spans="1:11">
      <c r="A266" s="99" t="s">
        <v>4653</v>
      </c>
      <c r="B266" s="113">
        <v>-55000</v>
      </c>
      <c r="C266" s="99">
        <v>1</v>
      </c>
      <c r="D266" s="99">
        <f t="shared" si="8"/>
        <v>9</v>
      </c>
      <c r="E266" s="99">
        <f t="shared" si="9"/>
        <v>0</v>
      </c>
      <c r="F266" s="99">
        <f t="shared" si="10"/>
        <v>-264555</v>
      </c>
      <c r="G266" s="99"/>
    </row>
    <row r="267" spans="1:11">
      <c r="A267" s="99" t="s">
        <v>4636</v>
      </c>
      <c r="B267" s="113">
        <v>-29395</v>
      </c>
      <c r="C267" s="99">
        <v>2</v>
      </c>
      <c r="D267" s="99">
        <f t="shared" si="8"/>
        <v>8</v>
      </c>
      <c r="E267" s="99">
        <f t="shared" si="9"/>
        <v>0</v>
      </c>
      <c r="F267" s="99">
        <f t="shared" si="10"/>
        <v>-400000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6</v>
      </c>
      <c r="E268" s="99">
        <f t="shared" si="9"/>
        <v>0</v>
      </c>
      <c r="F268" s="99">
        <f t="shared" si="10"/>
        <v>-480000</v>
      </c>
      <c r="G268" s="99"/>
    </row>
    <row r="269" spans="1:11">
      <c r="A269" s="99" t="s">
        <v>4656</v>
      </c>
      <c r="B269" s="113">
        <v>-80000</v>
      </c>
      <c r="C269" s="99">
        <v>1</v>
      </c>
      <c r="D269" s="99">
        <f t="shared" si="8"/>
        <v>5</v>
      </c>
      <c r="E269" s="99">
        <f t="shared" si="9"/>
        <v>0</v>
      </c>
      <c r="F269" s="99">
        <f t="shared" si="10"/>
        <v>-494545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4</v>
      </c>
      <c r="E270" s="99">
        <f t="shared" si="9"/>
        <v>0</v>
      </c>
      <c r="F270" s="99">
        <f t="shared" si="10"/>
        <v>-37520</v>
      </c>
      <c r="G270" s="99"/>
    </row>
    <row r="271" spans="1:11">
      <c r="A271" s="99" t="s">
        <v>4664</v>
      </c>
      <c r="B271" s="113">
        <v>-9380</v>
      </c>
      <c r="C271" s="99">
        <v>0</v>
      </c>
      <c r="D271" s="99">
        <f t="shared" si="8"/>
        <v>1</v>
      </c>
      <c r="E271" s="99">
        <f t="shared" si="9"/>
        <v>0</v>
      </c>
      <c r="F271" s="99">
        <f t="shared" si="10"/>
        <v>-2400000</v>
      </c>
      <c r="G271" s="99"/>
    </row>
    <row r="272" spans="1:11">
      <c r="A272" s="99" t="s">
        <v>4664</v>
      </c>
      <c r="B272" s="113">
        <v>-2400000</v>
      </c>
      <c r="C272" s="99">
        <v>1</v>
      </c>
      <c r="D272" s="99">
        <f t="shared" si="8"/>
        <v>1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41737</v>
      </c>
      <c r="C280" s="11"/>
      <c r="D280" s="11"/>
      <c r="E280" s="11"/>
      <c r="F280" s="29">
        <f>SUM(F2:F278)</f>
        <v>18891259467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19637483.853430353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4"/>
  <sheetViews>
    <sheetView tabSelected="1" topLeftCell="O136" zoomScaleNormal="100" workbookViewId="0">
      <selection activeCell="R152" sqref="R15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41737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653026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S56</f>
        <v>115</v>
      </c>
      <c r="T20" s="169" t="s">
        <v>4310</v>
      </c>
      <c r="U20" s="169">
        <v>192.1</v>
      </c>
      <c r="V20" s="169">
        <f>U20*(1+$N$88+$Q$15*S20/36500)</f>
        <v>211.19842410958904</v>
      </c>
      <c r="W20" s="32">
        <f t="shared" ref="W20:W33" si="6">V20*(1+$W$19/100)</f>
        <v>215.42239259178083</v>
      </c>
      <c r="X20" s="32">
        <f t="shared" ref="X20:X33" si="7">V20*(1+$X$19/100)</f>
        <v>219.6463610739726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337</v>
      </c>
      <c r="AM20" s="113">
        <f>AJ20*AL20</f>
        <v>6066000000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-N31</f>
        <v>107661694.82598448</v>
      </c>
      <c r="M21" s="169" t="s">
        <v>4302</v>
      </c>
      <c r="N21" s="113">
        <f>O21*P21</f>
        <v>12921035.5</v>
      </c>
      <c r="O21" s="99">
        <v>73207</v>
      </c>
      <c r="P21" s="188">
        <f>P42</f>
        <v>176.5</v>
      </c>
      <c r="Q21" s="170">
        <v>1450345</v>
      </c>
      <c r="R21" s="169" t="s">
        <v>4306</v>
      </c>
      <c r="S21" s="194">
        <f>S20-36</f>
        <v>79</v>
      </c>
      <c r="T21" s="169" t="s">
        <v>4311</v>
      </c>
      <c r="U21" s="169">
        <v>313.7</v>
      </c>
      <c r="V21" s="169">
        <f>U21*(1+$N$88+$Q$15*S21/36500)</f>
        <v>336.22451945205478</v>
      </c>
      <c r="W21" s="32">
        <f t="shared" si="6"/>
        <v>342.94900984109586</v>
      </c>
      <c r="X21" s="32">
        <f t="shared" si="7"/>
        <v>349.67350023013699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336</v>
      </c>
      <c r="AM21" s="113">
        <f t="shared" ref="AM21:AM128" si="9">AJ21*AL21</f>
        <v>840000000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0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-3161718</v>
      </c>
      <c r="M22" s="169" t="s">
        <v>4314</v>
      </c>
      <c r="N22" s="113">
        <f>O22*P22</f>
        <v>8679468</v>
      </c>
      <c r="O22" s="99">
        <v>28504</v>
      </c>
      <c r="P22" s="188">
        <f>P43</f>
        <v>304.5</v>
      </c>
      <c r="Q22" s="170">
        <v>400069</v>
      </c>
      <c r="R22" s="169" t="s">
        <v>4312</v>
      </c>
      <c r="S22" s="194">
        <f>S21-1</f>
        <v>78</v>
      </c>
      <c r="T22" s="169" t="s">
        <v>4313</v>
      </c>
      <c r="U22" s="169">
        <v>314.8</v>
      </c>
      <c r="V22" s="169">
        <f>U22*(1+$N$88+$Q$15*S22/36500)</f>
        <v>337.16201205479456</v>
      </c>
      <c r="W22" s="32">
        <f t="shared" si="6"/>
        <v>343.90525229589048</v>
      </c>
      <c r="X22" s="32">
        <f t="shared" si="7"/>
        <v>350.64849253698634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335</v>
      </c>
      <c r="AM22" s="113">
        <f t="shared" si="9"/>
        <v>2680000000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0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4645</v>
      </c>
      <c r="N23" s="113">
        <f>O23*P23</f>
        <v>84026.8</v>
      </c>
      <c r="O23" s="99">
        <v>338</v>
      </c>
      <c r="P23" s="188">
        <f>P47</f>
        <v>248.6</v>
      </c>
      <c r="Q23" s="170">
        <v>7118256</v>
      </c>
      <c r="R23" s="169" t="s">
        <v>4312</v>
      </c>
      <c r="S23" s="194">
        <f>S22</f>
        <v>78</v>
      </c>
      <c r="T23" s="169" t="s">
        <v>4543</v>
      </c>
      <c r="U23" s="169">
        <v>313</v>
      </c>
      <c r="V23" s="169">
        <f>U23*(1+$N$88+$Q$15*S23/36500)</f>
        <v>335.23414794520551</v>
      </c>
      <c r="W23" s="32">
        <f t="shared" si="6"/>
        <v>341.93883090410964</v>
      </c>
      <c r="X23" s="32">
        <f t="shared" si="7"/>
        <v>348.64351386301377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334</v>
      </c>
      <c r="AM23" s="113">
        <f t="shared" si="9"/>
        <v>-26570368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0"/>
        <v>280306345.38193864</v>
      </c>
      <c r="F24" s="3">
        <f>L68</f>
        <v>282564616.82598448</v>
      </c>
      <c r="G24" s="95">
        <f t="shared" si="0"/>
        <v>-2258271.4440458417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4190065</v>
      </c>
      <c r="O24" s="99">
        <v>781</v>
      </c>
      <c r="P24" s="99">
        <f>P44</f>
        <v>5365</v>
      </c>
      <c r="Q24" s="170">
        <v>595156</v>
      </c>
      <c r="R24" s="169" t="s">
        <v>4399</v>
      </c>
      <c r="S24" s="195">
        <f>S23-16</f>
        <v>62</v>
      </c>
      <c r="T24" s="169" t="s">
        <v>4402</v>
      </c>
      <c r="U24" s="169">
        <v>5808.5</v>
      </c>
      <c r="V24" s="169">
        <f>U24*(1+$N$88+$Q$15*S24/36500)</f>
        <v>6149.8170082191782</v>
      </c>
      <c r="W24" s="32">
        <f t="shared" si="6"/>
        <v>6272.8133483835618</v>
      </c>
      <c r="X24" s="32">
        <f t="shared" si="7"/>
        <v>6395.8096885479454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333</v>
      </c>
      <c r="AM24" s="113">
        <f t="shared" si="9"/>
        <v>55111500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0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55</v>
      </c>
      <c r="T25" s="19" t="s">
        <v>4440</v>
      </c>
      <c r="U25" s="169">
        <v>5474</v>
      </c>
      <c r="V25" s="169">
        <f>U25*(1+$N$88+$Q$15*S25/36500)</f>
        <v>5766.266608219179</v>
      </c>
      <c r="W25" s="32">
        <f t="shared" si="6"/>
        <v>5881.5919403835624</v>
      </c>
      <c r="X25" s="32">
        <f t="shared" si="7"/>
        <v>5996.9172725479466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321</v>
      </c>
      <c r="AM25" s="113">
        <f t="shared" si="9"/>
        <v>-9254534967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0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6</v>
      </c>
      <c r="O26" s="69"/>
      <c r="P26" s="99"/>
      <c r="Q26" s="170">
        <v>2197673</v>
      </c>
      <c r="R26" s="169" t="s">
        <v>4437</v>
      </c>
      <c r="S26" s="169">
        <f>S25</f>
        <v>55</v>
      </c>
      <c r="T26" s="19" t="s">
        <v>4441</v>
      </c>
      <c r="U26" s="169">
        <v>5349</v>
      </c>
      <c r="V26" s="169">
        <f>U26*(1+$N$88+$Q$15*S26/36500)</f>
        <v>5634.5926356164391</v>
      </c>
      <c r="W26" s="32">
        <f>V26*(1+$W$19/100)</f>
        <v>5747.284488328768</v>
      </c>
      <c r="X26" s="32">
        <f t="shared" si="7"/>
        <v>5859.9763410410969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315</v>
      </c>
      <c r="AM26" s="113">
        <f t="shared" si="9"/>
        <v>5827500000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0"/>
        <v>299801964.25813711</v>
      </c>
      <c r="F27" s="3"/>
      <c r="G27" s="11"/>
      <c r="H27" s="11"/>
      <c r="J27" s="25"/>
      <c r="K27" s="169"/>
      <c r="L27" s="117"/>
      <c r="M27" s="192" t="s">
        <v>4645</v>
      </c>
      <c r="N27" s="113">
        <f>O27*P27</f>
        <v>84026.8</v>
      </c>
      <c r="O27" s="69">
        <v>338</v>
      </c>
      <c r="P27" s="99">
        <f>P47</f>
        <v>248.6</v>
      </c>
      <c r="Q27" s="170">
        <v>1353959</v>
      </c>
      <c r="R27" s="169" t="s">
        <v>4437</v>
      </c>
      <c r="S27" s="202">
        <f>S26</f>
        <v>55</v>
      </c>
      <c r="T27" s="19" t="s">
        <v>4483</v>
      </c>
      <c r="U27" s="169">
        <v>192.2</v>
      </c>
      <c r="V27" s="169">
        <f>U27*(1+$N$88+$Q$15*S27/36500)</f>
        <v>202.46190027397262</v>
      </c>
      <c r="W27" s="32">
        <f t="shared" si="6"/>
        <v>206.51113827945207</v>
      </c>
      <c r="X27" s="32">
        <f t="shared" si="7"/>
        <v>210.56037628493152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314</v>
      </c>
      <c r="AM27" s="113">
        <f t="shared" si="9"/>
        <v>-5824700000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0"/>
        <v>306577597.44039667</v>
      </c>
      <c r="F28" s="3"/>
      <c r="G28" s="11"/>
      <c r="H28" s="11"/>
      <c r="K28" s="169"/>
      <c r="L28" s="117"/>
      <c r="M28" s="192" t="s">
        <v>4446</v>
      </c>
      <c r="N28" s="113">
        <f>O28*P28</f>
        <v>3059627.5</v>
      </c>
      <c r="O28" s="69">
        <v>17335</v>
      </c>
      <c r="P28" s="99">
        <f>P42</f>
        <v>176.5</v>
      </c>
      <c r="Q28" s="170">
        <v>1614398</v>
      </c>
      <c r="R28" s="169" t="s">
        <v>4445</v>
      </c>
      <c r="S28" s="169">
        <f>S27-3</f>
        <v>52</v>
      </c>
      <c r="T28" s="19" t="s">
        <v>4521</v>
      </c>
      <c r="U28" s="169">
        <v>184.6</v>
      </c>
      <c r="V28" s="169">
        <f>U28*(1+$N$88+$Q$15*S28/36500)</f>
        <v>194.03128986301368</v>
      </c>
      <c r="W28" s="32">
        <f t="shared" si="6"/>
        <v>197.91191566027396</v>
      </c>
      <c r="X28" s="32">
        <f t="shared" si="7"/>
        <v>201.79254145753424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313</v>
      </c>
      <c r="AM28" s="113">
        <f t="shared" si="9"/>
        <v>-20332793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0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133576</v>
      </c>
      <c r="R29" s="169" t="s">
        <v>4528</v>
      </c>
      <c r="S29" s="201">
        <f>S28-22</f>
        <v>30</v>
      </c>
      <c r="T29" s="169" t="s">
        <v>4529</v>
      </c>
      <c r="U29" s="169">
        <v>166.2</v>
      </c>
      <c r="V29" s="169">
        <f>U29*(1+$N$88+$Q$15*S29/36500)</f>
        <v>171.88631671232878</v>
      </c>
      <c r="W29" s="32">
        <f t="shared" si="6"/>
        <v>175.32404304657535</v>
      </c>
      <c r="X29" s="32">
        <f t="shared" si="7"/>
        <v>178.76176938082193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308</v>
      </c>
      <c r="AM29" s="113">
        <f t="shared" si="9"/>
        <v>1971200000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0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220803</v>
      </c>
      <c r="R30" s="169" t="s">
        <v>4232</v>
      </c>
      <c r="S30" s="201">
        <f>S29-1</f>
        <v>29</v>
      </c>
      <c r="T30" s="169" t="s">
        <v>4535</v>
      </c>
      <c r="U30" s="169">
        <v>166</v>
      </c>
      <c r="V30" s="169">
        <f>U30*(1+$N$88+$Q$15*S30/36500)</f>
        <v>171.55213150684932</v>
      </c>
      <c r="W30" s="32">
        <f t="shared" si="6"/>
        <v>174.98317413698632</v>
      </c>
      <c r="X30" s="32">
        <f t="shared" si="7"/>
        <v>178.41421676712329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307</v>
      </c>
      <c r="AM30" s="113">
        <f t="shared" si="9"/>
        <v>-52190000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0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4150</v>
      </c>
      <c r="N31" s="113">
        <f>-S103</f>
        <v>-107661694.82598448</v>
      </c>
      <c r="O31" s="96" t="s">
        <v>25</v>
      </c>
      <c r="P31" s="96" t="s">
        <v>25</v>
      </c>
      <c r="Q31" s="170">
        <v>1023940</v>
      </c>
      <c r="R31" s="169" t="s">
        <v>4536</v>
      </c>
      <c r="S31" s="201">
        <f>S30-2</f>
        <v>27</v>
      </c>
      <c r="T31" s="169" t="s">
        <v>4544</v>
      </c>
      <c r="U31" s="169">
        <v>160.19999999999999</v>
      </c>
      <c r="V31" s="169">
        <f>U31*(1+$N$88+$Q$15*S31/36500)</f>
        <v>165.31235506849316</v>
      </c>
      <c r="W31" s="32">
        <f t="shared" si="6"/>
        <v>168.61860216986304</v>
      </c>
      <c r="X31" s="32">
        <f t="shared" si="7"/>
        <v>171.92484927123289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302</v>
      </c>
      <c r="AM31" s="113">
        <f t="shared" si="9"/>
        <v>-1902600000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0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66208</v>
      </c>
      <c r="R32" s="169" t="s">
        <v>4643</v>
      </c>
      <c r="S32" s="201">
        <f>S31-25</f>
        <v>2</v>
      </c>
      <c r="T32" s="169" t="s">
        <v>4647</v>
      </c>
      <c r="U32" s="169">
        <v>195</v>
      </c>
      <c r="V32" s="169">
        <f>U32*(1+$N$88+$Q$15*S32/36500)</f>
        <v>197.48317808219181</v>
      </c>
      <c r="W32" s="32">
        <f t="shared" si="6"/>
        <v>201.43284164383564</v>
      </c>
      <c r="X32" s="32">
        <f t="shared" si="7"/>
        <v>205.3825052054795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301</v>
      </c>
      <c r="AM32" s="113">
        <f t="shared" si="9"/>
        <v>-15656515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0"/>
        <v>342665177.18345958</v>
      </c>
      <c r="F33" s="3"/>
      <c r="G33" s="11"/>
      <c r="H33" s="11"/>
      <c r="J33" s="25"/>
      <c r="K33" s="169" t="s">
        <v>1086</v>
      </c>
      <c r="L33" s="117">
        <f>61*P15</f>
        <v>219600000</v>
      </c>
      <c r="M33" s="169" t="s">
        <v>760</v>
      </c>
      <c r="N33" s="113">
        <v>1200000</v>
      </c>
      <c r="O33" t="s">
        <v>25</v>
      </c>
      <c r="P33" t="s">
        <v>25</v>
      </c>
      <c r="Q33" s="170">
        <v>168846</v>
      </c>
      <c r="R33" s="169" t="s">
        <v>3692</v>
      </c>
      <c r="S33" s="201">
        <f>S32-3</f>
        <v>-1</v>
      </c>
      <c r="T33" s="169" t="s">
        <v>4659</v>
      </c>
      <c r="U33" s="169">
        <v>172.2</v>
      </c>
      <c r="V33" s="169">
        <f>U33*(1+$N$88+$Q$15*S33/36500)</f>
        <v>173.99654136986302</v>
      </c>
      <c r="W33" s="32">
        <f t="shared" si="6"/>
        <v>177.47647219726028</v>
      </c>
      <c r="X33" s="32">
        <f t="shared" si="7"/>
        <v>180.95640302465756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285</v>
      </c>
      <c r="AM33" s="113">
        <f t="shared" si="9"/>
        <v>5704959000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0"/>
        <v>350346035.35818261</v>
      </c>
      <c r="F34" s="3"/>
      <c r="G34" s="11"/>
      <c r="H34" s="11"/>
      <c r="K34" s="169" t="s">
        <v>4573</v>
      </c>
      <c r="L34" s="117">
        <v>-50000000</v>
      </c>
      <c r="M34" s="73"/>
      <c r="N34" s="113"/>
      <c r="O34" s="96"/>
      <c r="P34" s="96"/>
      <c r="Q34" s="170"/>
      <c r="R34" s="169"/>
      <c r="S34" s="169"/>
      <c r="T34" s="169"/>
      <c r="U34" s="169"/>
      <c r="V34" s="169" t="s">
        <v>25</v>
      </c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285</v>
      </c>
      <c r="AM34" s="113">
        <f t="shared" si="9"/>
        <v>289122810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0"/>
        <v>358188786.24271059</v>
      </c>
      <c r="F35" s="3"/>
      <c r="G35" s="11"/>
      <c r="H35" s="11"/>
      <c r="K35" s="169" t="s">
        <v>4325</v>
      </c>
      <c r="L35" s="117">
        <v>-2000000</v>
      </c>
      <c r="M35" s="169" t="s">
        <v>1086</v>
      </c>
      <c r="N35" s="113">
        <f>60*P15</f>
        <v>216000000</v>
      </c>
      <c r="O35" s="96"/>
      <c r="P35" s="96"/>
      <c r="Q35" s="170">
        <f>SUM(N21:N24)-SUM(Q20:Q34)</f>
        <v>-1222309.6999999993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273</v>
      </c>
      <c r="AM35" s="113">
        <f t="shared" si="9"/>
        <v>98280000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0"/>
        <v>366196750.44670284</v>
      </c>
      <c r="F36" s="3"/>
      <c r="G36" s="11"/>
      <c r="H36" s="11"/>
      <c r="K36" s="169" t="s">
        <v>4517</v>
      </c>
      <c r="L36" s="117">
        <v>-1000000</v>
      </c>
      <c r="M36" s="169" t="s">
        <v>4575</v>
      </c>
      <c r="N36" s="113">
        <v>-20000000</v>
      </c>
      <c r="O36" s="96"/>
      <c r="P36" s="114"/>
      <c r="R36" s="115"/>
      <c r="S36" s="115" t="s">
        <v>25</v>
      </c>
      <c r="T36" s="115"/>
      <c r="U36" s="115"/>
      <c r="V36" s="115"/>
      <c r="W36" s="198"/>
      <c r="X36" s="198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271</v>
      </c>
      <c r="AM36" s="113">
        <f t="shared" si="9"/>
        <v>-94850000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4576</v>
      </c>
      <c r="N37" s="113">
        <v>-50000000</v>
      </c>
      <c r="O37" s="96"/>
      <c r="P37" s="96"/>
      <c r="Q37" s="96"/>
      <c r="R37" s="115"/>
      <c r="S37" s="115"/>
      <c r="T37" s="115" t="s">
        <v>25</v>
      </c>
      <c r="U37" s="115"/>
      <c r="V37" s="115"/>
      <c r="W37" s="198"/>
      <c r="X37" s="198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271</v>
      </c>
      <c r="AM37" s="113">
        <f t="shared" si="9"/>
        <v>271000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0"/>
        <v>382721938.80352634</v>
      </c>
      <c r="F38" s="3"/>
      <c r="G38" s="11"/>
      <c r="H38" s="11"/>
      <c r="K38" s="99" t="s">
        <v>4420</v>
      </c>
      <c r="L38" s="117">
        <v>3000000</v>
      </c>
      <c r="M38" s="169"/>
      <c r="N38" s="113"/>
      <c r="O38" s="96"/>
      <c r="P38" s="96"/>
      <c r="Q38" s="169" t="s">
        <v>657</v>
      </c>
      <c r="R38" s="169"/>
      <c r="S38" s="169"/>
      <c r="T38" s="169"/>
      <c r="U38" s="169"/>
      <c r="V38" s="169"/>
      <c r="W38" s="32"/>
      <c r="X38" s="32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270</v>
      </c>
      <c r="AM38" s="113">
        <f t="shared" si="9"/>
        <v>9074700000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30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0"/>
        <v>391246145.81384128</v>
      </c>
      <c r="F39" s="3"/>
      <c r="G39" s="11"/>
      <c r="H39" s="11"/>
      <c r="K39" s="99" t="s">
        <v>4638</v>
      </c>
      <c r="L39" s="117">
        <v>2000000</v>
      </c>
      <c r="M39" s="169" t="s">
        <v>4466</v>
      </c>
      <c r="N39" s="113">
        <v>16728202</v>
      </c>
      <c r="Q39" s="169" t="s">
        <v>267</v>
      </c>
      <c r="R39" s="169" t="s">
        <v>180</v>
      </c>
      <c r="S39" s="169" t="s">
        <v>183</v>
      </c>
      <c r="T39" s="169" t="s">
        <v>8</v>
      </c>
      <c r="U39" s="169" t="s">
        <v>4369</v>
      </c>
      <c r="V39" s="73" t="s">
        <v>4371</v>
      </c>
      <c r="W39" s="32">
        <v>2</v>
      </c>
      <c r="X39" s="32">
        <v>4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266</v>
      </c>
      <c r="AM39" s="113">
        <f t="shared" si="9"/>
        <v>-4149600000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69">
        <v>0</v>
      </c>
      <c r="R40" s="169" t="s">
        <v>4173</v>
      </c>
      <c r="S40" s="169">
        <f>S56</f>
        <v>115</v>
      </c>
      <c r="T40" s="169"/>
      <c r="U40" s="169"/>
      <c r="V40" s="73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263</v>
      </c>
      <c r="AM40" s="113">
        <f t="shared" si="9"/>
        <v>1972500000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212" t="s">
        <v>4397</v>
      </c>
      <c r="N41" s="113">
        <f t="shared" ref="N41:N57" si="11">O41*P41</f>
        <v>11073283.199999999</v>
      </c>
      <c r="O41" s="99">
        <v>3231</v>
      </c>
      <c r="P41" s="99">
        <v>3427.2</v>
      </c>
      <c r="Q41" s="170">
        <v>863944</v>
      </c>
      <c r="R41" s="169" t="s">
        <v>4445</v>
      </c>
      <c r="S41" s="169">
        <f>S40-62</f>
        <v>53</v>
      </c>
      <c r="T41" s="193" t="s">
        <v>4522</v>
      </c>
      <c r="U41" s="169">
        <v>184.6</v>
      </c>
      <c r="V41" s="169">
        <f>U41*(1+$N$88+$Q$15*S41/36500)</f>
        <v>194.17290082191784</v>
      </c>
      <c r="W41" s="32">
        <f t="shared" ref="W41:W47" si="12">V41*(1+$W$19/100)</f>
        <v>198.0563588383562</v>
      </c>
      <c r="X41" s="32">
        <f t="shared" ref="X41:X47" si="13">V41*(1+$X$19/100)</f>
        <v>201.93981685479454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259</v>
      </c>
      <c r="AM41" s="113">
        <f t="shared" si="9"/>
        <v>-25382000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9" t="s">
        <v>4180</v>
      </c>
      <c r="N42" s="113">
        <f t="shared" si="11"/>
        <v>222802127.5</v>
      </c>
      <c r="O42" s="99">
        <v>1262335</v>
      </c>
      <c r="P42" s="99">
        <v>176.5</v>
      </c>
      <c r="Q42" s="170">
        <v>1692313</v>
      </c>
      <c r="R42" s="169" t="s">
        <v>4525</v>
      </c>
      <c r="S42" s="201">
        <f>S41-21</f>
        <v>32</v>
      </c>
      <c r="T42" s="192" t="s">
        <v>4526</v>
      </c>
      <c r="U42" s="169">
        <v>168.5</v>
      </c>
      <c r="V42" s="169">
        <f>U42*(1+$N$88+$Q$15*S42/36500)</f>
        <v>174.52352876712331</v>
      </c>
      <c r="W42" s="32">
        <f t="shared" si="12"/>
        <v>178.01399934246578</v>
      </c>
      <c r="X42" s="32">
        <f t="shared" si="13"/>
        <v>181.50446991780825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258</v>
      </c>
      <c r="AM42" s="113">
        <f t="shared" si="9"/>
        <v>-6708000000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9" t="s">
        <v>4297</v>
      </c>
      <c r="N43" s="113">
        <f t="shared" si="11"/>
        <v>351088.5</v>
      </c>
      <c r="O43" s="69">
        <v>1153</v>
      </c>
      <c r="P43" s="69">
        <v>304.5</v>
      </c>
      <c r="Q43" s="170">
        <v>101153</v>
      </c>
      <c r="R43" s="169" t="s">
        <v>4528</v>
      </c>
      <c r="S43" s="201">
        <f>S42-1</f>
        <v>31</v>
      </c>
      <c r="T43" s="192" t="s">
        <v>4530</v>
      </c>
      <c r="U43" s="169">
        <v>166.7</v>
      </c>
      <c r="V43" s="169">
        <f>U43*(1+$N$88+$Q$15*S43/36500)</f>
        <v>172.53130301369862</v>
      </c>
      <c r="W43" s="32">
        <f t="shared" si="12"/>
        <v>175.98192907397259</v>
      </c>
      <c r="X43" s="32">
        <f t="shared" si="13"/>
        <v>179.43255513424657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258</v>
      </c>
      <c r="AM43" s="113">
        <f t="shared" si="9"/>
        <v>6450000000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9" t="s">
        <v>4401</v>
      </c>
      <c r="N44" s="113">
        <f t="shared" si="11"/>
        <v>1915305</v>
      </c>
      <c r="O44" s="69">
        <v>357</v>
      </c>
      <c r="P44" s="69">
        <v>5365</v>
      </c>
      <c r="Q44" s="170">
        <v>183105</v>
      </c>
      <c r="R44" s="169" t="s">
        <v>4232</v>
      </c>
      <c r="S44" s="201">
        <f>S43-1</f>
        <v>30</v>
      </c>
      <c r="T44" s="192" t="s">
        <v>4534</v>
      </c>
      <c r="U44" s="169">
        <v>166.6</v>
      </c>
      <c r="V44" s="169">
        <f>U44*(1+$N$88+$Q$15*S44/36500)</f>
        <v>172.30000219178083</v>
      </c>
      <c r="W44" s="32">
        <f t="shared" si="12"/>
        <v>175.74600223561646</v>
      </c>
      <c r="X44" s="32">
        <f t="shared" si="13"/>
        <v>179.19200227945208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257</v>
      </c>
      <c r="AM44" s="113">
        <f t="shared" si="9"/>
        <v>28270000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9" t="s">
        <v>4416</v>
      </c>
      <c r="N45" s="117">
        <f t="shared" si="11"/>
        <v>549.4</v>
      </c>
      <c r="O45" s="69">
        <v>1</v>
      </c>
      <c r="P45" s="69">
        <v>549.4</v>
      </c>
      <c r="Q45" s="170">
        <v>66208</v>
      </c>
      <c r="R45" s="169" t="s">
        <v>4643</v>
      </c>
      <c r="S45" s="201">
        <f>S44-27</f>
        <v>3</v>
      </c>
      <c r="T45" s="192" t="s">
        <v>4647</v>
      </c>
      <c r="U45" s="169">
        <v>195</v>
      </c>
      <c r="V45" s="169">
        <f>U45*(1+$N$88+$Q$15*S45/36500)</f>
        <v>197.63276712328769</v>
      </c>
      <c r="W45" s="32">
        <f t="shared" si="12"/>
        <v>201.58542246575345</v>
      </c>
      <c r="X45" s="32">
        <f t="shared" si="13"/>
        <v>205.53807780821921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256</v>
      </c>
      <c r="AM45" s="113">
        <f t="shared" si="9"/>
        <v>97280000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21" t="s">
        <v>4585</v>
      </c>
      <c r="N46" s="117">
        <f t="shared" si="11"/>
        <v>103956.90000000001</v>
      </c>
      <c r="O46" s="69">
        <v>197</v>
      </c>
      <c r="P46" s="69">
        <v>527.70000000000005</v>
      </c>
      <c r="Q46" s="170">
        <v>168846</v>
      </c>
      <c r="R46" s="169" t="s">
        <v>3692</v>
      </c>
      <c r="S46" s="201">
        <f>S45-3</f>
        <v>0</v>
      </c>
      <c r="T46" s="192" t="s">
        <v>4659</v>
      </c>
      <c r="U46" s="169">
        <v>172.2</v>
      </c>
      <c r="V46" s="169">
        <f>U46*(1+$N$88+$Q$15*S46/36500)</f>
        <v>174.12864000000002</v>
      </c>
      <c r="W46" s="32">
        <f t="shared" si="12"/>
        <v>177.61121280000003</v>
      </c>
      <c r="X46" s="32">
        <f t="shared" si="13"/>
        <v>181.09378560000002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249</v>
      </c>
      <c r="AM46" s="113">
        <f t="shared" si="9"/>
        <v>112050000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21" t="s">
        <v>4645</v>
      </c>
      <c r="N47" s="117">
        <f t="shared" si="11"/>
        <v>84275.4</v>
      </c>
      <c r="O47" s="69">
        <v>339</v>
      </c>
      <c r="P47" s="69">
        <v>248.6</v>
      </c>
      <c r="Q47" s="170"/>
      <c r="R47" s="169"/>
      <c r="S47" s="113"/>
      <c r="T47" s="113"/>
      <c r="U47" s="169"/>
      <c r="V47" s="169">
        <f>U47*(1+$N$88+$Q$15*S47/36500)</f>
        <v>0</v>
      </c>
      <c r="W47" s="32">
        <f t="shared" si="12"/>
        <v>0</v>
      </c>
      <c r="X47" s="32">
        <f t="shared" si="13"/>
        <v>0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243</v>
      </c>
      <c r="AM47" s="113">
        <f t="shared" si="9"/>
        <v>680400000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21" t="s">
        <v>4613</v>
      </c>
      <c r="N48" s="117">
        <f t="shared" si="11"/>
        <v>456213</v>
      </c>
      <c r="O48" s="69">
        <v>1205</v>
      </c>
      <c r="P48" s="69">
        <v>378.6</v>
      </c>
      <c r="Q48" s="113">
        <f>SUM(N28:N28)-SUM(Q40:Q47)</f>
        <v>-15941.5</v>
      </c>
      <c r="R48" s="169"/>
      <c r="S48" s="169"/>
      <c r="T48" s="169"/>
      <c r="U48" s="169"/>
      <c r="V48" s="169"/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242</v>
      </c>
      <c r="AM48" s="113">
        <f t="shared" si="9"/>
        <v>-363000000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21" t="s">
        <v>4592</v>
      </c>
      <c r="N49" s="117">
        <f t="shared" si="11"/>
        <v>1180600</v>
      </c>
      <c r="O49" s="69">
        <v>1000</v>
      </c>
      <c r="P49" s="69">
        <v>1180.5999999999999</v>
      </c>
      <c r="R49" s="115"/>
      <c r="S49" s="115"/>
      <c r="T49" s="115" t="s">
        <v>25</v>
      </c>
      <c r="U49" s="115"/>
      <c r="V49" s="115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242</v>
      </c>
      <c r="AM49" s="113">
        <f t="shared" si="9"/>
        <v>738100000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21" t="s">
        <v>4666</v>
      </c>
      <c r="N50" s="117">
        <f t="shared" si="11"/>
        <v>1969346.0999999999</v>
      </c>
      <c r="O50" s="69">
        <v>2309</v>
      </c>
      <c r="P50" s="69">
        <v>852.9</v>
      </c>
      <c r="Q50" t="s">
        <v>25</v>
      </c>
      <c r="S50" s="26" t="s">
        <v>25</v>
      </c>
      <c r="T50" t="s">
        <v>25</v>
      </c>
      <c r="U50" s="96" t="s">
        <v>25</v>
      </c>
      <c r="V50" s="115" t="s">
        <v>25</v>
      </c>
      <c r="W50" s="198"/>
      <c r="X50" s="198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239</v>
      </c>
      <c r="AM50" s="113">
        <f t="shared" si="9"/>
        <v>-1983607268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0"/>
        <v>508617694.84124976</v>
      </c>
      <c r="F51" s="3"/>
      <c r="G51" s="11"/>
      <c r="H51" s="11"/>
      <c r="K51" s="99" t="s">
        <v>25</v>
      </c>
      <c r="L51" s="117"/>
      <c r="M51" s="21" t="s">
        <v>4651</v>
      </c>
      <c r="N51" s="117">
        <f t="shared" si="11"/>
        <v>2632449</v>
      </c>
      <c r="O51" s="69">
        <v>3543</v>
      </c>
      <c r="P51" s="69">
        <v>743</v>
      </c>
      <c r="Q51" t="s">
        <v>25</v>
      </c>
      <c r="T51" t="s">
        <v>25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237</v>
      </c>
      <c r="AM51" s="113">
        <f t="shared" si="9"/>
        <v>1185000000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21" t="s">
        <v>4677</v>
      </c>
      <c r="N52" s="117">
        <f t="shared" si="11"/>
        <v>974988</v>
      </c>
      <c r="O52" s="69">
        <v>2190</v>
      </c>
      <c r="P52" s="69">
        <v>445.2</v>
      </c>
      <c r="T52" t="s">
        <v>25</v>
      </c>
      <c r="U52" s="96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223</v>
      </c>
      <c r="AM52" s="113">
        <f t="shared" si="9"/>
        <v>-20070000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21" t="s">
        <v>4678</v>
      </c>
      <c r="N53" s="117">
        <f t="shared" si="11"/>
        <v>1020000</v>
      </c>
      <c r="O53" s="69">
        <v>2500</v>
      </c>
      <c r="P53" s="69">
        <v>408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222</v>
      </c>
      <c r="AM53" s="113">
        <f t="shared" si="9"/>
        <v>1243200000</v>
      </c>
      <c r="AN53" s="99"/>
    </row>
    <row r="54" spans="1:40" ht="3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21" t="s">
        <v>4661</v>
      </c>
      <c r="N54" s="117">
        <f t="shared" si="11"/>
        <v>968800</v>
      </c>
      <c r="O54" s="69">
        <v>8000</v>
      </c>
      <c r="P54" s="69">
        <v>121.1</v>
      </c>
      <c r="Q54" s="73" t="s">
        <v>4296</v>
      </c>
      <c r="R54" s="112"/>
      <c r="S54" s="112"/>
      <c r="T54" s="112"/>
      <c r="U54" s="169" t="s">
        <v>4369</v>
      </c>
      <c r="V54" s="36" t="s">
        <v>4371</v>
      </c>
      <c r="W54" s="32"/>
      <c r="X54" s="32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218</v>
      </c>
      <c r="AM54" s="113">
        <f t="shared" si="9"/>
        <v>163500000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0"/>
        <v>554684624.00670612</v>
      </c>
      <c r="F55" s="3"/>
      <c r="G55" s="11"/>
      <c r="H55" s="11"/>
      <c r="K55" s="99"/>
      <c r="L55" s="117"/>
      <c r="M55" s="21" t="s">
        <v>4679</v>
      </c>
      <c r="N55" s="117">
        <f t="shared" si="11"/>
        <v>1005827.2000000001</v>
      </c>
      <c r="O55" s="69">
        <v>4648</v>
      </c>
      <c r="P55" s="69">
        <v>216.4</v>
      </c>
      <c r="Q55" s="112" t="s">
        <v>267</v>
      </c>
      <c r="R55" s="112" t="s">
        <v>180</v>
      </c>
      <c r="S55" s="112" t="s">
        <v>183</v>
      </c>
      <c r="T55" s="112" t="s">
        <v>8</v>
      </c>
      <c r="U55" s="169"/>
      <c r="V55" s="99"/>
      <c r="W55" s="32">
        <v>2</v>
      </c>
      <c r="X55" s="32">
        <v>4</v>
      </c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216</v>
      </c>
      <c r="AM55" s="171">
        <f t="shared" si="9"/>
        <v>-916272000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0"/>
        <v>566808386.86092329</v>
      </c>
      <c r="F56" s="3"/>
      <c r="G56" s="11"/>
      <c r="H56" s="11"/>
      <c r="K56" s="99" t="s">
        <v>25</v>
      </c>
      <c r="L56" s="117"/>
      <c r="M56" s="21" t="s">
        <v>4552</v>
      </c>
      <c r="N56" s="117">
        <f t="shared" si="11"/>
        <v>13927360</v>
      </c>
      <c r="O56" s="69">
        <v>3065</v>
      </c>
      <c r="P56" s="69">
        <v>4544</v>
      </c>
      <c r="Q56" s="170">
        <v>184971545</v>
      </c>
      <c r="R56" s="169" t="s">
        <v>4173</v>
      </c>
      <c r="S56" s="194">
        <v>115</v>
      </c>
      <c r="T56" s="169" t="s">
        <v>4352</v>
      </c>
      <c r="U56" s="169">
        <v>192</v>
      </c>
      <c r="V56" s="99">
        <f>U56*(1+$N$88+$Q$15*S56/36500)</f>
        <v>211.08848219178083</v>
      </c>
      <c r="W56" s="32">
        <f t="shared" ref="W56:W83" si="14">V56*(1+$W$19/100)</f>
        <v>215.31025183561644</v>
      </c>
      <c r="X56" s="32">
        <f t="shared" ref="X56:X83" si="15">V56*(1+$X$19/100)</f>
        <v>219.53202147945206</v>
      </c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214</v>
      </c>
      <c r="AM56" s="113">
        <f t="shared" si="9"/>
        <v>877400000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0"/>
        <v>579184925.67596567</v>
      </c>
      <c r="F57" s="3"/>
      <c r="G57" s="11"/>
      <c r="H57" s="11"/>
      <c r="K57" s="99"/>
      <c r="L57" s="117"/>
      <c r="M57" s="21" t="s">
        <v>1086</v>
      </c>
      <c r="N57" s="117">
        <f t="shared" si="11"/>
        <v>12525000</v>
      </c>
      <c r="O57" s="69">
        <v>30</v>
      </c>
      <c r="P57" s="69">
        <v>417500</v>
      </c>
      <c r="Q57" s="170">
        <v>9560464</v>
      </c>
      <c r="R57" s="169" t="s">
        <v>4300</v>
      </c>
      <c r="S57" s="194">
        <f>S56-31</f>
        <v>84</v>
      </c>
      <c r="T57" s="169" t="s">
        <v>4316</v>
      </c>
      <c r="U57" s="169">
        <v>214.57</v>
      </c>
      <c r="V57" s="99">
        <f>U57*(1+$N$88+$Q$15*S57/36500)</f>
        <v>230.79972208219178</v>
      </c>
      <c r="W57" s="32">
        <f t="shared" si="14"/>
        <v>235.41571652383561</v>
      </c>
      <c r="X57" s="32">
        <f t="shared" si="15"/>
        <v>240.03171096547945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214</v>
      </c>
      <c r="AM57" s="113">
        <f t="shared" si="9"/>
        <v>877400000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0"/>
        <v>591819398.97808707</v>
      </c>
      <c r="F58" s="3"/>
      <c r="G58" s="11"/>
      <c r="H58" s="11"/>
      <c r="K58" s="99"/>
      <c r="L58" s="117"/>
      <c r="M58" s="73"/>
      <c r="N58" s="117"/>
      <c r="O58" s="122"/>
      <c r="P58" s="122"/>
      <c r="Q58" s="170">
        <v>2000000</v>
      </c>
      <c r="R58" s="169" t="s">
        <v>4347</v>
      </c>
      <c r="S58" s="169">
        <f>S57-11</f>
        <v>73</v>
      </c>
      <c r="T58" s="169" t="s">
        <v>4351</v>
      </c>
      <c r="U58" s="169">
        <v>206.8</v>
      </c>
      <c r="V58" s="99">
        <f>U58*(1+$N$88+$Q$15*S58/36500)</f>
        <v>220.69696000000005</v>
      </c>
      <c r="W58" s="32">
        <f t="shared" si="14"/>
        <v>225.11089920000006</v>
      </c>
      <c r="X58" s="32">
        <f t="shared" si="15"/>
        <v>229.52483840000005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213</v>
      </c>
      <c r="AM58" s="113">
        <f t="shared" si="9"/>
        <v>168270000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0"/>
        <v>604717069.49413705</v>
      </c>
      <c r="F59" s="3"/>
      <c r="G59" s="11"/>
      <c r="H59" s="11"/>
      <c r="K59" s="99"/>
      <c r="L59" s="117"/>
      <c r="M59" s="169" t="s">
        <v>1153</v>
      </c>
      <c r="N59" s="117">
        <v>14908</v>
      </c>
      <c r="O59" s="96" t="s">
        <v>25</v>
      </c>
      <c r="P59" t="s">
        <v>25</v>
      </c>
      <c r="Q59" s="170">
        <v>1429825</v>
      </c>
      <c r="R59" s="169" t="s">
        <v>4378</v>
      </c>
      <c r="S59" s="169">
        <f>S58-7</f>
        <v>66</v>
      </c>
      <c r="T59" s="169" t="s">
        <v>4387</v>
      </c>
      <c r="U59" s="169">
        <v>203.9</v>
      </c>
      <c r="V59" s="99">
        <f>U59*(1+$N$88+$Q$15*S59/36500)</f>
        <v>216.50716493150688</v>
      </c>
      <c r="W59" s="32">
        <f t="shared" si="14"/>
        <v>220.83730823013701</v>
      </c>
      <c r="X59" s="32">
        <f t="shared" si="15"/>
        <v>225.16745152876717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198</v>
      </c>
      <c r="AM59" s="173">
        <f t="shared" si="9"/>
        <v>-765270000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0"/>
        <v>617883306.24587286</v>
      </c>
      <c r="F60" s="3"/>
      <c r="G60" s="11"/>
      <c r="H60" s="11"/>
      <c r="K60" s="99"/>
      <c r="L60" s="99"/>
      <c r="M60" s="169" t="s">
        <v>1154</v>
      </c>
      <c r="N60" s="117">
        <v>5282</v>
      </c>
      <c r="O60" s="96"/>
      <c r="P60" t="s">
        <v>25</v>
      </c>
      <c r="Q60" s="170">
        <v>1420747</v>
      </c>
      <c r="R60" s="169" t="s">
        <v>4378</v>
      </c>
      <c r="S60" s="169">
        <f>S59</f>
        <v>66</v>
      </c>
      <c r="T60" s="169" t="s">
        <v>4389</v>
      </c>
      <c r="U60" s="169">
        <v>203.1</v>
      </c>
      <c r="V60" s="99">
        <f>U60*(1+$N$88+$Q$15*S60/36500)</f>
        <v>215.65770082191781</v>
      </c>
      <c r="W60" s="32">
        <f t="shared" si="14"/>
        <v>219.97085483835616</v>
      </c>
      <c r="X60" s="32">
        <f t="shared" si="15"/>
        <v>224.28400885479454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192</v>
      </c>
      <c r="AM60" s="113">
        <f t="shared" si="9"/>
        <v>3609600000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O61" s="115"/>
      <c r="P61" s="115"/>
      <c r="Q61" s="170">
        <v>2412371</v>
      </c>
      <c r="R61" s="169" t="s">
        <v>4380</v>
      </c>
      <c r="S61" s="169">
        <f>S60-1</f>
        <v>65</v>
      </c>
      <c r="T61" s="169" t="s">
        <v>4396</v>
      </c>
      <c r="U61" s="169">
        <v>3930</v>
      </c>
      <c r="V61" s="99">
        <f>U61*(1+$N$88+$Q$15*S61/36500)</f>
        <v>4169.9776438356175</v>
      </c>
      <c r="W61" s="32">
        <f t="shared" si="14"/>
        <v>4253.3771967123303</v>
      </c>
      <c r="X61" s="32">
        <f t="shared" si="15"/>
        <v>4336.7767495890421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189</v>
      </c>
      <c r="AM61" s="113">
        <f t="shared" si="9"/>
        <v>94500000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0"/>
        <v>645043498.87861323</v>
      </c>
      <c r="F62" s="3"/>
      <c r="G62" s="11"/>
      <c r="H62" s="11"/>
      <c r="K62" s="169" t="s">
        <v>25</v>
      </c>
      <c r="L62" s="117"/>
      <c r="M62" s="169" t="s">
        <v>4181</v>
      </c>
      <c r="N62" s="113">
        <f>-O62*P62</f>
        <v>-14609434.5</v>
      </c>
      <c r="O62" s="99">
        <v>82773</v>
      </c>
      <c r="P62" s="99">
        <f>P42</f>
        <v>176.5</v>
      </c>
      <c r="Q62" s="170">
        <v>2010885</v>
      </c>
      <c r="R62" s="169" t="s">
        <v>4399</v>
      </c>
      <c r="S62" s="169">
        <f>S61-2</f>
        <v>63</v>
      </c>
      <c r="T62" s="169" t="s">
        <v>4405</v>
      </c>
      <c r="U62" s="169">
        <v>202.1</v>
      </c>
      <c r="V62" s="99">
        <f>U62*(1+$N$88+$Q$15*S62/36500)</f>
        <v>214.13076383561645</v>
      </c>
      <c r="W62" s="32">
        <f t="shared" si="14"/>
        <v>218.41337911232878</v>
      </c>
      <c r="X62" s="32">
        <f t="shared" si="15"/>
        <v>222.69599438904112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188</v>
      </c>
      <c r="AM62" s="113">
        <f t="shared" si="9"/>
        <v>37600000</v>
      </c>
      <c r="AN62" s="20"/>
    </row>
    <row r="63" spans="1:40">
      <c r="E63" s="26"/>
      <c r="K63" s="169"/>
      <c r="L63" s="117"/>
      <c r="M63" s="169"/>
      <c r="N63" s="113"/>
      <c r="Q63" s="170">
        <v>1994038</v>
      </c>
      <c r="R63" s="169" t="s">
        <v>4410</v>
      </c>
      <c r="S63" s="169">
        <f>S62-3</f>
        <v>60</v>
      </c>
      <c r="T63" s="169" t="s">
        <v>4427</v>
      </c>
      <c r="U63" s="169">
        <v>5560.3</v>
      </c>
      <c r="V63" s="99">
        <f>U63*(1+$N$88+$Q$15*S63/36500)</f>
        <v>5878.5014969863023</v>
      </c>
      <c r="W63" s="32">
        <f t="shared" si="14"/>
        <v>5996.0715269260281</v>
      </c>
      <c r="X63" s="32">
        <f t="shared" si="15"/>
        <v>6113.6415568657549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185</v>
      </c>
      <c r="AM63" s="113">
        <f t="shared" si="9"/>
        <v>185000000</v>
      </c>
      <c r="AN63" s="20"/>
    </row>
    <row r="64" spans="1:40">
      <c r="E64" s="26"/>
      <c r="K64" s="169"/>
      <c r="L64" s="117"/>
      <c r="M64" s="169"/>
      <c r="N64" s="113"/>
      <c r="Q64" s="170">
        <v>444</v>
      </c>
      <c r="R64" s="169" t="s">
        <v>4410</v>
      </c>
      <c r="S64" s="196">
        <f>S63</f>
        <v>60</v>
      </c>
      <c r="T64" s="169" t="s">
        <v>4648</v>
      </c>
      <c r="U64" s="169">
        <v>441.8</v>
      </c>
      <c r="V64" s="99">
        <f>U64*(1+$N$88+$Q$15*S64/36500)</f>
        <v>467.08306410958915</v>
      </c>
      <c r="W64" s="32">
        <f t="shared" si="14"/>
        <v>476.42472539178095</v>
      </c>
      <c r="X64" s="32">
        <f t="shared" si="15"/>
        <v>485.7663866739727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182</v>
      </c>
      <c r="AM64" s="113">
        <f t="shared" si="9"/>
        <v>236600000</v>
      </c>
      <c r="AN64" s="20"/>
    </row>
    <row r="65" spans="1:40">
      <c r="K65" s="169"/>
      <c r="L65" s="117"/>
      <c r="M65" s="169" t="s">
        <v>4453</v>
      </c>
      <c r="N65" s="113">
        <f>-S104</f>
        <v>-11399346.526977837</v>
      </c>
      <c r="Q65" s="170">
        <v>1971103</v>
      </c>
      <c r="R65" s="169" t="s">
        <v>4422</v>
      </c>
      <c r="S65" s="169">
        <f>S64-1</f>
        <v>59</v>
      </c>
      <c r="T65" s="169" t="s">
        <v>4423</v>
      </c>
      <c r="U65" s="169">
        <v>196.2</v>
      </c>
      <c r="V65" s="99">
        <f>U65*(1+$N$88+$Q$15*S65/36500)</f>
        <v>207.27750575342466</v>
      </c>
      <c r="W65" s="32">
        <f t="shared" si="14"/>
        <v>211.42305586849315</v>
      </c>
      <c r="X65" s="32">
        <f t="shared" si="15"/>
        <v>215.56860598356167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6">AL66+AK65</f>
        <v>182</v>
      </c>
      <c r="AM65" s="113">
        <f t="shared" si="9"/>
        <v>181090000</v>
      </c>
      <c r="AN65" s="20"/>
    </row>
    <row r="66" spans="1:40">
      <c r="K66" s="169"/>
      <c r="L66" s="117"/>
      <c r="M66" s="169"/>
      <c r="N66" s="113"/>
      <c r="P66" t="s">
        <v>25</v>
      </c>
      <c r="Q66" s="170">
        <v>1049856</v>
      </c>
      <c r="R66" s="169" t="s">
        <v>4445</v>
      </c>
      <c r="S66" s="202">
        <f>S65-6</f>
        <v>53</v>
      </c>
      <c r="T66" s="169" t="s">
        <v>4484</v>
      </c>
      <c r="U66" s="169">
        <v>184.5</v>
      </c>
      <c r="V66" s="99">
        <f>U66*(1+$N$88+$Q$15*S66/36500)</f>
        <v>194.06771506849319</v>
      </c>
      <c r="W66" s="32">
        <f t="shared" si="14"/>
        <v>197.94906936986305</v>
      </c>
      <c r="X66" s="32">
        <f t="shared" si="15"/>
        <v>201.83042367123292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6"/>
        <v>180</v>
      </c>
      <c r="AM66" s="113">
        <f t="shared" si="9"/>
        <v>2340000000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/>
      <c r="N67" s="113"/>
      <c r="Q67" s="170">
        <v>1783234</v>
      </c>
      <c r="R67" s="169" t="s">
        <v>4447</v>
      </c>
      <c r="S67" s="169">
        <f>S66-2</f>
        <v>51</v>
      </c>
      <c r="T67" s="169" t="s">
        <v>4448</v>
      </c>
      <c r="U67" s="169">
        <v>177.5</v>
      </c>
      <c r="V67" s="99">
        <f>U67*(1+$N$88+$Q$15*S67/36500)</f>
        <v>186.43238356164386</v>
      </c>
      <c r="W67" s="32">
        <f t="shared" si="14"/>
        <v>190.16103123287675</v>
      </c>
      <c r="X67" s="32">
        <f t="shared" si="15"/>
        <v>193.88967890410962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6"/>
        <v>178</v>
      </c>
      <c r="AM67" s="113">
        <f t="shared" si="9"/>
        <v>-551800000</v>
      </c>
      <c r="AN67" s="20"/>
    </row>
    <row r="68" spans="1:40">
      <c r="F68" t="s">
        <v>4104</v>
      </c>
      <c r="G68" t="s">
        <v>4099</v>
      </c>
      <c r="K68" s="169" t="s">
        <v>598</v>
      </c>
      <c r="L68" s="113">
        <f>SUM(L16:L44)</f>
        <v>282564616.82598448</v>
      </c>
      <c r="M68" s="169"/>
      <c r="N68" s="113">
        <f>SUM(N16:N64)</f>
        <v>347988719.47401547</v>
      </c>
      <c r="Q68" s="170">
        <v>1662335</v>
      </c>
      <c r="R68" s="169" t="s">
        <v>4451</v>
      </c>
      <c r="S68" s="201">
        <f>S67-5</f>
        <v>46</v>
      </c>
      <c r="T68" s="73" t="s">
        <v>4625</v>
      </c>
      <c r="U68" s="169">
        <v>190.3</v>
      </c>
      <c r="V68" s="99">
        <f>U68*(1+$N$88+$Q$15*S68/36500)</f>
        <v>199.14660383561647</v>
      </c>
      <c r="W68" s="32">
        <f t="shared" si="14"/>
        <v>203.12953591232881</v>
      </c>
      <c r="X68" s="32">
        <f t="shared" si="15"/>
        <v>207.11246798904114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6"/>
        <v>175</v>
      </c>
      <c r="AM68" s="113">
        <f t="shared" si="9"/>
        <v>7987000000</v>
      </c>
      <c r="AN68" s="20"/>
    </row>
    <row r="69" spans="1:40">
      <c r="F69" t="s">
        <v>4105</v>
      </c>
      <c r="G69" t="s">
        <v>4101</v>
      </c>
      <c r="K69" s="169" t="s">
        <v>599</v>
      </c>
      <c r="L69" s="113">
        <f>L16+L17+L24</f>
        <v>664640</v>
      </c>
      <c r="M69" s="169"/>
      <c r="N69" s="113">
        <f>N16+N17+N32</f>
        <v>1266331</v>
      </c>
      <c r="Q69" s="170">
        <v>159753</v>
      </c>
      <c r="R69" s="169" t="s">
        <v>4582</v>
      </c>
      <c r="S69" s="169">
        <f>S68-25</f>
        <v>21</v>
      </c>
      <c r="T69" s="73" t="s">
        <v>4600</v>
      </c>
      <c r="U69" s="169">
        <v>286</v>
      </c>
      <c r="V69" s="99">
        <f>U69*(1+$N$88+$Q$15*S69/36500)</f>
        <v>293.81054246575343</v>
      </c>
      <c r="W69" s="32">
        <f t="shared" si="14"/>
        <v>299.68675331506853</v>
      </c>
      <c r="X69" s="32">
        <f t="shared" si="15"/>
        <v>305.56296416438357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6"/>
        <v>174</v>
      </c>
      <c r="AM69" s="113">
        <f t="shared" si="9"/>
        <v>5829000000</v>
      </c>
      <c r="AN69" s="20"/>
    </row>
    <row r="70" spans="1:40">
      <c r="G70" t="s">
        <v>4102</v>
      </c>
      <c r="K70" s="56" t="s">
        <v>716</v>
      </c>
      <c r="L70" s="1">
        <f>L68+N7</f>
        <v>352564616.82598448</v>
      </c>
      <c r="M70" s="113"/>
      <c r="N70" s="169"/>
      <c r="O70" s="115"/>
      <c r="P70" s="115"/>
      <c r="Q70" s="170">
        <v>172133</v>
      </c>
      <c r="R70" s="169" t="s">
        <v>4584</v>
      </c>
      <c r="S70" s="169">
        <f>S69-3</f>
        <v>18</v>
      </c>
      <c r="T70" s="73" t="s">
        <v>4601</v>
      </c>
      <c r="U70" s="169">
        <v>287</v>
      </c>
      <c r="V70" s="99">
        <f>U70*(1+$N$88+$Q$15*S70/36500)</f>
        <v>294.17735890410961</v>
      </c>
      <c r="W70" s="32">
        <f t="shared" si="14"/>
        <v>300.06090608219182</v>
      </c>
      <c r="X70" s="32">
        <f t="shared" si="15"/>
        <v>305.94445326027403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6"/>
        <v>173</v>
      </c>
      <c r="AM70" s="117">
        <f t="shared" si="9"/>
        <v>2076000000</v>
      </c>
      <c r="AN70" s="20"/>
    </row>
    <row r="71" spans="1:40">
      <c r="G71" t="s">
        <v>4103</v>
      </c>
      <c r="O71" s="96"/>
      <c r="P71" s="96"/>
      <c r="Q71" s="170">
        <v>100530</v>
      </c>
      <c r="R71" s="169" t="s">
        <v>4584</v>
      </c>
      <c r="S71" s="169">
        <f>S70</f>
        <v>18</v>
      </c>
      <c r="T71" s="73" t="s">
        <v>4602</v>
      </c>
      <c r="U71" s="169">
        <v>508</v>
      </c>
      <c r="V71" s="99">
        <f>U71*(1+$N$88+$Q$15*S71/36500)</f>
        <v>520.70417534246576</v>
      </c>
      <c r="W71" s="32">
        <f t="shared" si="14"/>
        <v>531.11825884931511</v>
      </c>
      <c r="X71" s="32">
        <f t="shared" si="15"/>
        <v>541.53234235616446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6"/>
        <v>172</v>
      </c>
      <c r="AM71" s="117">
        <f t="shared" si="9"/>
        <v>2666000000</v>
      </c>
      <c r="AN71" s="20"/>
    </row>
    <row r="72" spans="1:40">
      <c r="G72" t="s">
        <v>4107</v>
      </c>
      <c r="M72" s="25"/>
      <c r="O72" t="s">
        <v>25</v>
      </c>
      <c r="Q72" s="170">
        <v>499973</v>
      </c>
      <c r="R72" s="169" t="s">
        <v>4614</v>
      </c>
      <c r="S72" s="169">
        <f>S71-9</f>
        <v>9</v>
      </c>
      <c r="T72" s="73" t="s">
        <v>4615</v>
      </c>
      <c r="U72" s="169">
        <v>413</v>
      </c>
      <c r="V72" s="99">
        <f>U72*(1+$N$88+$Q$15*S72/36500)</f>
        <v>420.47699726027406</v>
      </c>
      <c r="W72" s="32">
        <f t="shared" si="14"/>
        <v>428.88653720547956</v>
      </c>
      <c r="X72" s="32">
        <f t="shared" si="15"/>
        <v>437.29607715068505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6"/>
        <v>168</v>
      </c>
      <c r="AM72" s="117">
        <f t="shared" si="9"/>
        <v>25200000</v>
      </c>
      <c r="AN72" s="20"/>
    </row>
    <row r="73" spans="1:40">
      <c r="G73" t="s">
        <v>4106</v>
      </c>
      <c r="M73" s="25" t="s">
        <v>4081</v>
      </c>
      <c r="O73" s="115"/>
      <c r="P73" s="115"/>
      <c r="Q73" s="170">
        <v>11869317</v>
      </c>
      <c r="R73" s="169" t="s">
        <v>4626</v>
      </c>
      <c r="S73" s="169">
        <f>S72-2</f>
        <v>7</v>
      </c>
      <c r="T73" s="169" t="s">
        <v>4627</v>
      </c>
      <c r="U73" s="169">
        <v>395600</v>
      </c>
      <c r="V73" s="99">
        <f>U73*(1+$N$88+$Q$15*S73/36500)</f>
        <v>402155.03780821926</v>
      </c>
      <c r="W73" s="32">
        <f t="shared" si="14"/>
        <v>410198.13856438367</v>
      </c>
      <c r="X73" s="32">
        <f t="shared" si="15"/>
        <v>418241.23932054802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6"/>
        <v>167</v>
      </c>
      <c r="AM73" s="182">
        <f t="shared" si="9"/>
        <v>4843000000</v>
      </c>
      <c r="AN73" s="181" t="s">
        <v>4187</v>
      </c>
    </row>
    <row r="74" spans="1:40">
      <c r="M74" s="178"/>
      <c r="O74" s="115"/>
      <c r="P74" s="115"/>
      <c r="Q74" s="170">
        <v>2272487</v>
      </c>
      <c r="R74" s="169" t="s">
        <v>4636</v>
      </c>
      <c r="S74" s="169">
        <f>S73-3</f>
        <v>4</v>
      </c>
      <c r="T74" s="169" t="s">
        <v>4637</v>
      </c>
      <c r="U74" s="169">
        <v>174.9</v>
      </c>
      <c r="V74" s="99">
        <f>U74*(1+$N$88+$Q$15*S74/36500)</f>
        <v>177.39555945205484</v>
      </c>
      <c r="W74" s="32">
        <f t="shared" si="14"/>
        <v>180.94347064109593</v>
      </c>
      <c r="X74" s="32">
        <f t="shared" si="15"/>
        <v>184.49138183013704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6"/>
        <v>152</v>
      </c>
      <c r="AM74" s="117">
        <f t="shared" si="9"/>
        <v>-19760000</v>
      </c>
      <c r="AN74" s="20" t="s">
        <v>4213</v>
      </c>
    </row>
    <row r="75" spans="1:40">
      <c r="M75" s="96" t="s">
        <v>4669</v>
      </c>
      <c r="Q75" s="170">
        <v>66404</v>
      </c>
      <c r="R75" s="169" t="s">
        <v>4643</v>
      </c>
      <c r="S75" s="169">
        <f>S74-1</f>
        <v>3</v>
      </c>
      <c r="T75" s="169" t="s">
        <v>4644</v>
      </c>
      <c r="U75" s="169">
        <v>195</v>
      </c>
      <c r="V75" s="99">
        <f>U75*(1+$N$88+$Q$15*S75/36500)</f>
        <v>197.63276712328769</v>
      </c>
      <c r="W75" s="32">
        <f t="shared" si="14"/>
        <v>201.58542246575345</v>
      </c>
      <c r="X75" s="32">
        <f t="shared" si="15"/>
        <v>205.53807780821921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6"/>
        <v>145</v>
      </c>
      <c r="AM75" s="117">
        <f>AJ75*AL75</f>
        <v>33640000</v>
      </c>
      <c r="AN75" s="20" t="s">
        <v>4261</v>
      </c>
    </row>
    <row r="76" spans="1:40">
      <c r="D76" s="3"/>
      <c r="E76" s="11" t="s">
        <v>304</v>
      </c>
      <c r="M76" s="122" t="s">
        <v>4417</v>
      </c>
      <c r="O76" s="114"/>
      <c r="Q76" s="170">
        <v>3975257</v>
      </c>
      <c r="R76" s="169" t="s">
        <v>4643</v>
      </c>
      <c r="S76" s="169">
        <f>S75</f>
        <v>3</v>
      </c>
      <c r="T76" s="169" t="s">
        <v>4646</v>
      </c>
      <c r="U76" s="169">
        <v>173</v>
      </c>
      <c r="V76" s="99">
        <f>U76*(1+$N$88+$Q$15*S76/36500)</f>
        <v>175.33573698630138</v>
      </c>
      <c r="W76" s="32">
        <f t="shared" si="14"/>
        <v>178.84245172602741</v>
      </c>
      <c r="X76" s="32">
        <f t="shared" si="15"/>
        <v>182.34916646575346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6"/>
        <v>143</v>
      </c>
      <c r="AM76" s="117">
        <f t="shared" si="9"/>
        <v>-24310000</v>
      </c>
      <c r="AN76" s="20"/>
    </row>
    <row r="77" spans="1:40">
      <c r="D77" s="1" t="s">
        <v>305</v>
      </c>
      <c r="E77" s="1">
        <v>70000</v>
      </c>
      <c r="M77" s="122" t="s">
        <v>4519</v>
      </c>
      <c r="N77" s="96"/>
      <c r="Q77" s="170">
        <v>1031662</v>
      </c>
      <c r="R77" s="169" t="s">
        <v>4235</v>
      </c>
      <c r="S77" s="169">
        <f>S76-1</f>
        <v>2</v>
      </c>
      <c r="T77" s="169" t="s">
        <v>4650</v>
      </c>
      <c r="U77" s="169">
        <v>171.2</v>
      </c>
      <c r="V77" s="99">
        <f>U77*(1+$N$88+$Q$15*S77/36500)</f>
        <v>173.38010301369863</v>
      </c>
      <c r="W77" s="32">
        <f t="shared" si="14"/>
        <v>176.84770507397261</v>
      </c>
      <c r="X77" s="32">
        <f t="shared" si="15"/>
        <v>180.31530713424658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6"/>
        <v>140</v>
      </c>
      <c r="AM77" s="117">
        <f t="shared" si="9"/>
        <v>-42000000</v>
      </c>
      <c r="AN77" s="20"/>
    </row>
    <row r="78" spans="1:40">
      <c r="D78" s="1" t="s">
        <v>321</v>
      </c>
      <c r="E78" s="1">
        <v>100000</v>
      </c>
      <c r="M78" s="122" t="s">
        <v>4606</v>
      </c>
      <c r="N78" s="96"/>
      <c r="P78" t="s">
        <v>25</v>
      </c>
      <c r="Q78" s="170">
        <v>2666019</v>
      </c>
      <c r="R78" s="169" t="s">
        <v>4235</v>
      </c>
      <c r="S78" s="169">
        <f>S77</f>
        <v>2</v>
      </c>
      <c r="T78" s="169" t="s">
        <v>4652</v>
      </c>
      <c r="U78" s="169">
        <v>749</v>
      </c>
      <c r="V78" s="99">
        <f>U78*(1+$N$88+$Q$15*S78/36500)</f>
        <v>758.53795068493162</v>
      </c>
      <c r="W78" s="32">
        <f t="shared" si="14"/>
        <v>773.70870969863029</v>
      </c>
      <c r="X78" s="32">
        <f t="shared" si="15"/>
        <v>788.87946871232896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137</v>
      </c>
      <c r="AM78" s="117">
        <f t="shared" si="9"/>
        <v>-1561800000</v>
      </c>
      <c r="AN78" s="20"/>
    </row>
    <row r="79" spans="1:40">
      <c r="D79" s="1" t="s">
        <v>306</v>
      </c>
      <c r="E79" s="1">
        <v>80000</v>
      </c>
      <c r="M79" s="211" t="s">
        <v>4599</v>
      </c>
      <c r="N79" s="96"/>
      <c r="P79" s="115"/>
      <c r="Q79" s="170">
        <v>577500</v>
      </c>
      <c r="R79" s="169" t="s">
        <v>4235</v>
      </c>
      <c r="S79" s="169">
        <f>S78</f>
        <v>2</v>
      </c>
      <c r="T79" s="169" t="s">
        <v>4655</v>
      </c>
      <c r="U79" s="169">
        <v>175</v>
      </c>
      <c r="V79" s="99">
        <f>U79*(1+$N$88+$Q$15*S79/36500)</f>
        <v>177.22849315068495</v>
      </c>
      <c r="W79" s="32">
        <f t="shared" si="14"/>
        <v>180.77306301369865</v>
      </c>
      <c r="X79" s="32">
        <f t="shared" si="15"/>
        <v>184.31763287671237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124</v>
      </c>
      <c r="AM79" s="117">
        <f>AJ79*AL79</f>
        <v>-1240000000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4518</v>
      </c>
      <c r="N80" s="96"/>
      <c r="P80" s="115" t="s">
        <v>25</v>
      </c>
      <c r="Q80" s="170">
        <v>12636487</v>
      </c>
      <c r="R80" s="169" t="s">
        <v>3692</v>
      </c>
      <c r="S80" s="169">
        <f>S79-2</f>
        <v>0</v>
      </c>
      <c r="T80" s="169" t="s">
        <v>4658</v>
      </c>
      <c r="U80" s="169">
        <v>172.1</v>
      </c>
      <c r="V80" s="99">
        <f>U80*(1+$N$88+$Q$15*S80/36500)</f>
        <v>174.02752000000001</v>
      </c>
      <c r="W80" s="32">
        <f t="shared" si="14"/>
        <v>177.50807040000001</v>
      </c>
      <c r="X80" s="32">
        <f t="shared" si="15"/>
        <v>180.98862080000001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123</v>
      </c>
      <c r="AM80" s="117">
        <f>AJ80*AL80</f>
        <v>-301350000</v>
      </c>
      <c r="AN80" s="20"/>
    </row>
    <row r="81" spans="4:52">
      <c r="D81" s="31" t="s">
        <v>308</v>
      </c>
      <c r="E81" s="1">
        <v>300000</v>
      </c>
      <c r="M81" s="122" t="s">
        <v>4608</v>
      </c>
      <c r="O81" t="s">
        <v>25</v>
      </c>
      <c r="P81" s="115"/>
      <c r="Q81" s="170">
        <v>1210169</v>
      </c>
      <c r="R81" s="169" t="s">
        <v>4664</v>
      </c>
      <c r="S81" s="169">
        <f>S80-3</f>
        <v>-3</v>
      </c>
      <c r="T81" s="169" t="s">
        <v>4665</v>
      </c>
      <c r="U81" s="169">
        <v>1204.7</v>
      </c>
      <c r="V81" s="99">
        <f>U81*(1+$N$88+$Q$15*S81/36500)</f>
        <v>1215.4201797260275</v>
      </c>
      <c r="W81" s="32">
        <f t="shared" si="14"/>
        <v>1239.7285833205481</v>
      </c>
      <c r="X81" s="32">
        <f t="shared" si="15"/>
        <v>1264.0369869150686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6"/>
        <v>118</v>
      </c>
      <c r="AM81" s="117">
        <f t="shared" si="9"/>
        <v>-53817558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M82" s="96">
        <f>O42+O21+O28-O62</f>
        <v>1270104</v>
      </c>
      <c r="N82" s="113">
        <f>M82*P42</f>
        <v>224173356</v>
      </c>
      <c r="P82" s="115"/>
      <c r="Q82" s="170">
        <v>1997458</v>
      </c>
      <c r="R82" s="169" t="s">
        <v>4664</v>
      </c>
      <c r="S82" s="169">
        <f>S81</f>
        <v>-3</v>
      </c>
      <c r="T82" s="169" t="s">
        <v>4667</v>
      </c>
      <c r="U82" s="169">
        <v>862.2</v>
      </c>
      <c r="V82" s="99">
        <f>U82*(1+$N$88+$Q$15*S82/36500)</f>
        <v>869.87239890410979</v>
      </c>
      <c r="W82" s="32">
        <f t="shared" si="14"/>
        <v>887.26984688219204</v>
      </c>
      <c r="X82" s="32">
        <f t="shared" si="15"/>
        <v>904.66729486027418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117</v>
      </c>
      <c r="AM82" s="117">
        <f t="shared" si="9"/>
        <v>-58500000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4268</v>
      </c>
      <c r="P83" s="115"/>
      <c r="Q83" s="170">
        <v>12131182</v>
      </c>
      <c r="R83" s="169" t="s">
        <v>4664</v>
      </c>
      <c r="S83" s="169">
        <f>S82</f>
        <v>-3</v>
      </c>
      <c r="T83" s="169" t="s">
        <v>4668</v>
      </c>
      <c r="U83" s="169">
        <v>171.8</v>
      </c>
      <c r="V83" s="99">
        <f>U83*(1+$N$88+$Q$15*S83/36500)</f>
        <v>173.32878465753427</v>
      </c>
      <c r="W83" s="32">
        <f t="shared" si="14"/>
        <v>176.79536035068497</v>
      </c>
      <c r="X83" s="32">
        <f t="shared" si="15"/>
        <v>180.26193604383565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6"/>
        <v>115</v>
      </c>
      <c r="AM83" s="117">
        <f t="shared" si="9"/>
        <v>-716952550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4612</v>
      </c>
      <c r="N84" t="s">
        <v>25</v>
      </c>
      <c r="P84" s="115"/>
      <c r="Q84" s="170">
        <v>8978273</v>
      </c>
      <c r="R84" s="169" t="s">
        <v>4674</v>
      </c>
      <c r="S84" s="169">
        <f>S83-1</f>
        <v>-4</v>
      </c>
      <c r="T84" s="169" t="s">
        <v>4675</v>
      </c>
      <c r="U84" s="169">
        <v>3405.9</v>
      </c>
      <c r="V84" s="99">
        <f>U84*(1+$N$88+$Q$15*S84/36500)</f>
        <v>3433.5950991780824</v>
      </c>
      <c r="W84" s="32">
        <f t="shared" ref="W84:W91" si="17">V84*(1+$W$19/100)</f>
        <v>3502.2670011616442</v>
      </c>
      <c r="X84" s="32">
        <f t="shared" ref="X84:X91" si="18">V84*(1+$X$19/100)</f>
        <v>3570.9389031452056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6"/>
        <v>112</v>
      </c>
      <c r="AM84" s="117">
        <f t="shared" si="9"/>
        <v>218507184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P85" s="115"/>
      <c r="Q85" s="170">
        <v>1001073</v>
      </c>
      <c r="R85" s="169" t="s">
        <v>4674</v>
      </c>
      <c r="S85" s="169">
        <f>S84</f>
        <v>-4</v>
      </c>
      <c r="T85" s="169" t="s">
        <v>4676</v>
      </c>
      <c r="U85" s="169">
        <v>455</v>
      </c>
      <c r="V85" s="99">
        <f>U85*(1+$N$88+$Q$15*S85/36500)</f>
        <v>458.69983561643835</v>
      </c>
      <c r="W85" s="32">
        <f t="shared" si="17"/>
        <v>467.87383232876715</v>
      </c>
      <c r="X85" s="32">
        <f t="shared" si="18"/>
        <v>477.04782904109589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6"/>
        <v>108</v>
      </c>
      <c r="AM85" s="117">
        <f t="shared" si="9"/>
        <v>64800000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949</v>
      </c>
      <c r="N86">
        <v>6.3E-3</v>
      </c>
      <c r="P86" s="115"/>
      <c r="Q86" s="170">
        <v>1026238</v>
      </c>
      <c r="R86" s="169" t="s">
        <v>4674</v>
      </c>
      <c r="S86" s="169">
        <f>S85</f>
        <v>-4</v>
      </c>
      <c r="T86" s="169" t="s">
        <v>4680</v>
      </c>
      <c r="U86" s="169">
        <v>408.6</v>
      </c>
      <c r="V86" s="99">
        <f>U86*(1+$N$88+$Q$15*S86/36500)</f>
        <v>411.92253369863016</v>
      </c>
      <c r="W86" s="32">
        <f t="shared" si="17"/>
        <v>420.1609843726028</v>
      </c>
      <c r="X86" s="32">
        <f t="shared" si="18"/>
        <v>428.39943504657538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6"/>
        <v>103</v>
      </c>
      <c r="AM86" s="117">
        <f t="shared" si="9"/>
        <v>772500000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61</v>
      </c>
      <c r="N87">
        <v>4.8999999999999998E-3</v>
      </c>
      <c r="P87" s="115"/>
      <c r="Q87" s="170">
        <v>982939</v>
      </c>
      <c r="R87" s="169" t="s">
        <v>4674</v>
      </c>
      <c r="S87" s="169">
        <f>S86</f>
        <v>-4</v>
      </c>
      <c r="T87" s="169" t="s">
        <v>4681</v>
      </c>
      <c r="U87" s="169">
        <v>122.3</v>
      </c>
      <c r="V87" s="99">
        <f>U87*(1+$N$88+$Q$15*S87/36500)</f>
        <v>123.29448328767123</v>
      </c>
      <c r="W87" s="32">
        <f t="shared" si="17"/>
        <v>125.76037295342465</v>
      </c>
      <c r="X87" s="32">
        <f t="shared" si="18"/>
        <v>128.22626261917807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6"/>
        <v>101</v>
      </c>
      <c r="AM87" s="117">
        <f t="shared" si="9"/>
        <v>-59369416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</v>
      </c>
      <c r="N88">
        <f>N86+N87</f>
        <v>1.12E-2</v>
      </c>
      <c r="O88" t="s">
        <v>25</v>
      </c>
      <c r="P88" t="s">
        <v>25</v>
      </c>
      <c r="Q88" s="170">
        <v>1013762</v>
      </c>
      <c r="R88" s="169" t="s">
        <v>4674</v>
      </c>
      <c r="S88" s="169">
        <f>S87</f>
        <v>-4</v>
      </c>
      <c r="T88" s="169" t="s">
        <v>4682</v>
      </c>
      <c r="U88" s="169">
        <v>217.1</v>
      </c>
      <c r="V88" s="99">
        <f>U88*(1+$N$88+$Q$15*S88/36500)</f>
        <v>218.86535013698631</v>
      </c>
      <c r="W88" s="32">
        <f t="shared" si="17"/>
        <v>223.24265713972605</v>
      </c>
      <c r="X88" s="32">
        <f t="shared" si="18"/>
        <v>227.61996414246576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98</v>
      </c>
      <c r="AM88" s="117">
        <f t="shared" si="9"/>
        <v>-88933922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>
        <v>13858128</v>
      </c>
      <c r="R89" s="169" t="s">
        <v>4674</v>
      </c>
      <c r="S89" s="169">
        <f>S88</f>
        <v>-4</v>
      </c>
      <c r="T89" s="169" t="s">
        <v>4683</v>
      </c>
      <c r="U89" s="169">
        <v>4500.5</v>
      </c>
      <c r="V89" s="99">
        <f>U89*(1+$N$88+$Q$15*S89/36500)</f>
        <v>4537.0958465753429</v>
      </c>
      <c r="W89" s="32">
        <f t="shared" si="17"/>
        <v>4627.83776350685</v>
      </c>
      <c r="X89" s="32">
        <f t="shared" si="18"/>
        <v>4718.5796804383572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6"/>
        <v>98</v>
      </c>
      <c r="AM89" s="117">
        <f t="shared" si="9"/>
        <v>240100000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70"/>
      <c r="R90" s="169"/>
      <c r="S90" s="169"/>
      <c r="T90" s="169"/>
      <c r="U90" s="169"/>
      <c r="V90" s="99">
        <f>U90*(1+$N$88+$Q$15*S90/36500)</f>
        <v>0</v>
      </c>
      <c r="W90" s="32">
        <f t="shared" si="17"/>
        <v>0</v>
      </c>
      <c r="X90" s="32">
        <f t="shared" si="18"/>
        <v>0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6"/>
        <v>97</v>
      </c>
      <c r="AM90" s="117">
        <f t="shared" si="9"/>
        <v>145500000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/>
      <c r="R91" s="169"/>
      <c r="S91" s="169"/>
      <c r="T91" s="169"/>
      <c r="U91" s="169"/>
      <c r="V91" s="99">
        <f>U91*(1+$N$88+$Q$15*S91/36500)</f>
        <v>0</v>
      </c>
      <c r="W91" s="32">
        <f t="shared" si="17"/>
        <v>0</v>
      </c>
      <c r="X91" s="32">
        <f t="shared" si="18"/>
        <v>0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6"/>
        <v>96</v>
      </c>
      <c r="AM91" s="117">
        <f t="shared" si="9"/>
        <v>254208000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s="197" t="s">
        <v>4550</v>
      </c>
      <c r="Q92" s="113">
        <f>SUM(N41:N57)-SUM(Q56:Q91)</f>
        <v>-17502421.800000012</v>
      </c>
      <c r="R92" s="112"/>
      <c r="S92" s="112"/>
      <c r="T92" s="112"/>
      <c r="U92" s="169"/>
      <c r="V92" s="99" t="s">
        <v>25</v>
      </c>
      <c r="W92" s="32"/>
      <c r="X92" s="32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6"/>
        <v>95</v>
      </c>
      <c r="AM92" s="117">
        <f t="shared" si="9"/>
        <v>58425000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4551</v>
      </c>
      <c r="Q93" s="26"/>
      <c r="R93" s="183"/>
      <c r="S93" s="183"/>
      <c r="T93" t="s">
        <v>25</v>
      </c>
      <c r="U93" s="96" t="s">
        <v>25</v>
      </c>
      <c r="V93" s="96" t="s">
        <v>25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91</v>
      </c>
      <c r="AM93" s="117">
        <f t="shared" si="9"/>
        <v>1274000000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4552</v>
      </c>
      <c r="R94" s="32" t="s">
        <v>4596</v>
      </c>
      <c r="S94" s="32" t="s">
        <v>950</v>
      </c>
      <c r="T94" t="s">
        <v>25</v>
      </c>
      <c r="U94" s="96" t="s">
        <v>25</v>
      </c>
      <c r="V94" s="96" t="s">
        <v>25</v>
      </c>
      <c r="W94" s="96" t="s">
        <v>25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89</v>
      </c>
      <c r="AM94" s="117">
        <f t="shared" si="9"/>
        <v>116857000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4397</v>
      </c>
      <c r="R95" s="32">
        <v>20</v>
      </c>
      <c r="S95" s="170">
        <v>7991977</v>
      </c>
      <c r="U95" s="96" t="s">
        <v>25</v>
      </c>
      <c r="V95" s="122" t="s">
        <v>25</v>
      </c>
      <c r="X95" t="s">
        <v>25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8" si="19">AL96+AK95</f>
        <v>89</v>
      </c>
      <c r="AM95" s="117">
        <f t="shared" si="9"/>
        <v>201941000</v>
      </c>
      <c r="AN95" s="99"/>
    </row>
    <row r="96" spans="4:52">
      <c r="D96" s="32" t="s">
        <v>314</v>
      </c>
      <c r="E96" s="1">
        <v>140000</v>
      </c>
      <c r="M96" t="s">
        <v>4416</v>
      </c>
      <c r="Q96" t="s">
        <v>25</v>
      </c>
      <c r="R96" s="32">
        <v>10</v>
      </c>
      <c r="S96" s="1">
        <f>S95*R96/R95</f>
        <v>3995988.5</v>
      </c>
      <c r="U96" s="96" t="s">
        <v>25</v>
      </c>
      <c r="V96" s="122" t="s">
        <v>25</v>
      </c>
      <c r="W96" s="96" t="s">
        <v>25</v>
      </c>
      <c r="X96" t="s">
        <v>25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19"/>
        <v>88</v>
      </c>
      <c r="AM96" s="117">
        <f t="shared" si="9"/>
        <v>66000000</v>
      </c>
      <c r="AN96" s="99"/>
    </row>
    <row r="97" spans="4:47">
      <c r="D97" s="2" t="s">
        <v>478</v>
      </c>
      <c r="E97" s="3">
        <v>1083333</v>
      </c>
      <c r="M97" t="s">
        <v>4553</v>
      </c>
      <c r="R97" s="32">
        <f>R95-R96</f>
        <v>10</v>
      </c>
      <c r="S97" s="1">
        <f>R97*S95/R95</f>
        <v>3995988.5</v>
      </c>
      <c r="V97" s="96"/>
      <c r="W97"/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19"/>
        <v>84</v>
      </c>
      <c r="AM97" s="117">
        <f t="shared" si="9"/>
        <v>159600000</v>
      </c>
      <c r="AN97" s="99"/>
    </row>
    <row r="98" spans="4:47">
      <c r="D98" s="2"/>
      <c r="E98" s="3"/>
      <c r="H98" s="96"/>
      <c r="M98" t="s">
        <v>4401</v>
      </c>
      <c r="V98" s="96"/>
      <c r="W98"/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19"/>
        <v>81</v>
      </c>
      <c r="AM98" s="117">
        <f t="shared" si="9"/>
        <v>518400000</v>
      </c>
      <c r="AN98" s="99"/>
    </row>
    <row r="99" spans="4:47">
      <c r="D99" s="2"/>
      <c r="E99" s="3"/>
      <c r="M99" t="s">
        <v>4554</v>
      </c>
      <c r="Q99" s="99" t="s">
        <v>4470</v>
      </c>
      <c r="R99" s="99" t="s">
        <v>4472</v>
      </c>
      <c r="S99" s="99"/>
      <c r="T99" s="99" t="s">
        <v>4473</v>
      </c>
      <c r="U99" s="99"/>
      <c r="V99" s="99"/>
      <c r="W99" s="99" t="s">
        <v>4605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19"/>
        <v>80</v>
      </c>
      <c r="AM99" s="117">
        <f t="shared" si="9"/>
        <v>400000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4555</v>
      </c>
      <c r="P100" s="115"/>
      <c r="Q100" s="113">
        <v>1000</v>
      </c>
      <c r="R100" s="99">
        <v>0.25</v>
      </c>
      <c r="S100" s="99"/>
      <c r="T100" s="99">
        <f>1-R100</f>
        <v>0.75</v>
      </c>
      <c r="U100" s="99"/>
      <c r="V100" s="99"/>
      <c r="W100" s="99"/>
      <c r="Y100" t="s">
        <v>25</v>
      </c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19"/>
        <v>75</v>
      </c>
      <c r="AM100" s="117">
        <f t="shared" si="9"/>
        <v>-131261100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 t="s">
        <v>4457</v>
      </c>
      <c r="R101" s="169" t="s">
        <v>4475</v>
      </c>
      <c r="S101" s="169" t="s">
        <v>4477</v>
      </c>
      <c r="T101" s="169" t="s">
        <v>180</v>
      </c>
      <c r="U101" s="169" t="s">
        <v>4471</v>
      </c>
      <c r="V101" s="56" t="s">
        <v>4474</v>
      </c>
      <c r="W101" s="99"/>
      <c r="X101" s="115"/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19"/>
        <v>74</v>
      </c>
      <c r="AM101" s="117">
        <f t="shared" si="9"/>
        <v>29600000</v>
      </c>
      <c r="AN101" s="99"/>
    </row>
    <row r="102" spans="4:47">
      <c r="P102" s="128"/>
      <c r="Q102" s="169" t="s">
        <v>751</v>
      </c>
      <c r="R102" s="56">
        <v>809829</v>
      </c>
      <c r="S102" s="113">
        <f>R102*$T$134</f>
        <v>203373312.4470377</v>
      </c>
      <c r="T102" s="169" t="s">
        <v>4469</v>
      </c>
      <c r="U102" s="169">
        <f>$Q$100*$T$100*S102/$R$125</f>
        <v>473.05748453184287</v>
      </c>
      <c r="V102" s="95">
        <f>S102+U102</f>
        <v>203373785.50452223</v>
      </c>
      <c r="W102" s="99">
        <f>R102*100/U131</f>
        <v>63.074331270912388</v>
      </c>
      <c r="X102" s="163"/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19"/>
        <v>74</v>
      </c>
      <c r="AM102" s="117">
        <f t="shared" si="9"/>
        <v>-155801154</v>
      </c>
      <c r="AN102" s="99"/>
      <c r="AO102" t="s">
        <v>25</v>
      </c>
    </row>
    <row r="103" spans="4:47">
      <c r="P103" s="115"/>
      <c r="Q103" s="169" t="s">
        <v>4459</v>
      </c>
      <c r="R103" s="56">
        <v>428707</v>
      </c>
      <c r="S103" s="113">
        <f>R103*$T$134</f>
        <v>107661694.82598448</v>
      </c>
      <c r="T103" s="169" t="s">
        <v>4469</v>
      </c>
      <c r="U103" s="169">
        <f>$Q$100*$T$100*S103/$R$125+Q100*R100</f>
        <v>500.42700992579023</v>
      </c>
      <c r="V103" s="95">
        <f>S103+U103</f>
        <v>107662195.2529944</v>
      </c>
      <c r="W103" s="99">
        <f>R103*100/U131</f>
        <v>33.390267990105365</v>
      </c>
      <c r="X103" s="115"/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19"/>
        <v>73</v>
      </c>
      <c r="AM103" s="117">
        <f t="shared" si="9"/>
        <v>-403516114</v>
      </c>
      <c r="AN103" s="99"/>
    </row>
    <row r="104" spans="4:47">
      <c r="Q104" s="169" t="s">
        <v>4458</v>
      </c>
      <c r="R104" s="56">
        <v>45392</v>
      </c>
      <c r="S104" s="113">
        <f>R104*$T$134</f>
        <v>11399346.526977837</v>
      </c>
      <c r="T104" s="169" t="s">
        <v>4469</v>
      </c>
      <c r="U104" s="169">
        <f>$Q$100*$T$100*S104/$R$125</f>
        <v>26.51550554236686</v>
      </c>
      <c r="V104" s="95">
        <f>S104+U104</f>
        <v>11399373.04248338</v>
      </c>
      <c r="W104" s="99">
        <f>R104*100/U131</f>
        <v>3.5354007389822484</v>
      </c>
      <c r="X104" s="115"/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19"/>
        <v>73</v>
      </c>
      <c r="AM104" s="117">
        <f t="shared" si="9"/>
        <v>284700000</v>
      </c>
      <c r="AN104" s="99"/>
    </row>
    <row r="105" spans="4:47">
      <c r="Q105" s="169"/>
      <c r="R105" s="56"/>
      <c r="S105" s="169"/>
      <c r="T105" s="169"/>
      <c r="U105" s="169"/>
      <c r="V105" s="99"/>
      <c r="W105" s="99"/>
      <c r="X105" s="115"/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19"/>
        <v>70</v>
      </c>
      <c r="AM105" s="117">
        <f t="shared" si="9"/>
        <v>-277882780</v>
      </c>
      <c r="AN105" s="99"/>
    </row>
    <row r="106" spans="4:47">
      <c r="Q106" s="169"/>
      <c r="R106" s="56"/>
      <c r="S106" s="169"/>
      <c r="T106" s="169"/>
      <c r="U106" s="169"/>
      <c r="V106" s="169"/>
      <c r="W106" s="99"/>
      <c r="X106" s="96"/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19"/>
        <v>69</v>
      </c>
      <c r="AM106" s="117">
        <f t="shared" si="9"/>
        <v>-1764637395</v>
      </c>
      <c r="AN106" s="99"/>
      <c r="AP106" t="s">
        <v>25</v>
      </c>
    </row>
    <row r="107" spans="4:47">
      <c r="K107" s="169" t="s">
        <v>4556</v>
      </c>
      <c r="L107" s="169" t="s">
        <v>4557</v>
      </c>
      <c r="M107" s="169" t="s">
        <v>4443</v>
      </c>
      <c r="N107" s="56" t="s">
        <v>190</v>
      </c>
      <c r="Q107" s="169"/>
      <c r="R107" s="169"/>
      <c r="S107" s="169"/>
      <c r="T107" s="169"/>
      <c r="U107" s="169"/>
      <c r="V107" s="169"/>
      <c r="W107" s="99"/>
      <c r="X107" s="96"/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19"/>
        <v>69</v>
      </c>
      <c r="AM107" s="117">
        <f t="shared" si="9"/>
        <v>276000000</v>
      </c>
      <c r="AN107" s="99"/>
    </row>
    <row r="108" spans="4:47">
      <c r="K108" s="169" t="s">
        <v>4244</v>
      </c>
      <c r="L108" s="170">
        <v>1100000</v>
      </c>
      <c r="M108" s="170">
        <v>1637000</v>
      </c>
      <c r="N108" s="169">
        <f t="shared" ref="N108:N116" si="20">(M108-L108)*100/L108</f>
        <v>48.81818181818182</v>
      </c>
      <c r="Q108" s="99"/>
      <c r="R108" s="99"/>
      <c r="S108" s="99"/>
      <c r="T108" s="99" t="s">
        <v>25</v>
      </c>
      <c r="U108" s="99"/>
      <c r="V108" s="99"/>
      <c r="W108" s="99"/>
      <c r="X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19"/>
        <v>68</v>
      </c>
      <c r="AM108" s="117">
        <f t="shared" si="9"/>
        <v>-340000000</v>
      </c>
      <c r="AN108" s="99"/>
    </row>
    <row r="109" spans="4:47">
      <c r="K109" s="5" t="s">
        <v>4551</v>
      </c>
      <c r="L109" s="170">
        <v>1100000</v>
      </c>
      <c r="M109" s="170">
        <v>4748000</v>
      </c>
      <c r="N109" s="169">
        <f t="shared" si="20"/>
        <v>331.63636363636363</v>
      </c>
      <c r="Q109" s="99"/>
      <c r="R109" s="99"/>
      <c r="S109" s="99"/>
      <c r="T109" s="99"/>
      <c r="U109" s="99"/>
      <c r="V109" s="99"/>
      <c r="W109" s="99"/>
      <c r="X109" s="96"/>
      <c r="AD109" s="96"/>
      <c r="AE109"/>
      <c r="AF109"/>
      <c r="AH109" s="99">
        <v>89</v>
      </c>
      <c r="AI109" s="113" t="s">
        <v>4609</v>
      </c>
      <c r="AJ109" s="113">
        <v>10000000</v>
      </c>
      <c r="AK109" s="99">
        <v>4</v>
      </c>
      <c r="AL109" s="99">
        <f t="shared" si="19"/>
        <v>66</v>
      </c>
      <c r="AM109" s="117">
        <f t="shared" si="9"/>
        <v>660000000</v>
      </c>
      <c r="AN109" s="99"/>
    </row>
    <row r="110" spans="4:47">
      <c r="K110" s="5" t="s">
        <v>4552</v>
      </c>
      <c r="L110" s="170">
        <v>1100000</v>
      </c>
      <c r="M110" s="170">
        <v>5137000</v>
      </c>
      <c r="N110" s="169">
        <f t="shared" si="20"/>
        <v>367</v>
      </c>
      <c r="Q110" s="99"/>
      <c r="R110" s="99"/>
      <c r="S110" s="99"/>
      <c r="T110" s="99"/>
      <c r="U110" s="99"/>
      <c r="V110" s="99"/>
      <c r="W110" s="99"/>
      <c r="X110" s="96"/>
      <c r="AH110" s="99">
        <v>90</v>
      </c>
      <c r="AI110" s="113" t="s">
        <v>4611</v>
      </c>
      <c r="AJ110" s="113">
        <v>-5241937</v>
      </c>
      <c r="AK110" s="99">
        <v>0</v>
      </c>
      <c r="AL110" s="99">
        <f t="shared" si="19"/>
        <v>62</v>
      </c>
      <c r="AM110" s="117">
        <f t="shared" si="9"/>
        <v>-325000094</v>
      </c>
      <c r="AN110" s="99"/>
    </row>
    <row r="111" spans="4:47">
      <c r="K111" s="19" t="s">
        <v>4397</v>
      </c>
      <c r="L111" s="170">
        <v>1100000</v>
      </c>
      <c r="M111" s="170">
        <v>4300000</v>
      </c>
      <c r="N111" s="169">
        <f t="shared" si="20"/>
        <v>290.90909090909093</v>
      </c>
      <c r="Q111" s="96"/>
      <c r="R111" s="96"/>
      <c r="S111" s="96"/>
      <c r="T111" s="96"/>
      <c r="V111" s="96"/>
      <c r="X111" s="115"/>
      <c r="AH111" s="99">
        <v>91</v>
      </c>
      <c r="AI111" s="113" t="s">
        <v>4611</v>
      </c>
      <c r="AJ111" s="113">
        <v>21900000</v>
      </c>
      <c r="AK111" s="99">
        <v>2</v>
      </c>
      <c r="AL111" s="99">
        <f t="shared" si="19"/>
        <v>62</v>
      </c>
      <c r="AM111" s="117">
        <f t="shared" si="9"/>
        <v>1357800000</v>
      </c>
      <c r="AN111" s="99"/>
      <c r="AP111" t="s">
        <v>25</v>
      </c>
      <c r="AR111" s="96"/>
      <c r="AS111" s="96"/>
      <c r="AT111"/>
      <c r="AU111"/>
    </row>
    <row r="112" spans="4:47">
      <c r="K112" s="5" t="s">
        <v>4416</v>
      </c>
      <c r="L112" s="170">
        <v>1100000</v>
      </c>
      <c r="M112" s="170">
        <v>3191000</v>
      </c>
      <c r="N112" s="169">
        <f t="shared" si="20"/>
        <v>190.09090909090909</v>
      </c>
      <c r="Q112" s="96"/>
      <c r="R112" s="96"/>
      <c r="S112" s="96"/>
      <c r="T112" s="96"/>
      <c r="V112" s="96"/>
      <c r="AH112" s="99">
        <v>92</v>
      </c>
      <c r="AI112" s="113" t="s">
        <v>4622</v>
      </c>
      <c r="AJ112" s="113">
        <v>-15000000</v>
      </c>
      <c r="AK112" s="99">
        <v>0</v>
      </c>
      <c r="AL112" s="99">
        <f t="shared" si="19"/>
        <v>60</v>
      </c>
      <c r="AM112" s="117">
        <f t="shared" si="9"/>
        <v>-900000000</v>
      </c>
      <c r="AN112" s="99"/>
      <c r="AO112" t="s">
        <v>25</v>
      </c>
    </row>
    <row r="113" spans="11:43">
      <c r="K113" s="5" t="s">
        <v>4553</v>
      </c>
      <c r="L113" s="170">
        <v>1100000</v>
      </c>
      <c r="M113" s="170">
        <v>5623000</v>
      </c>
      <c r="N113" s="169">
        <f t="shared" si="20"/>
        <v>411.18181818181819</v>
      </c>
      <c r="Q113" s="96"/>
      <c r="R113" s="96"/>
      <c r="S113" s="96"/>
      <c r="T113" s="96" t="s">
        <v>25</v>
      </c>
      <c r="V113" s="96"/>
      <c r="AH113" s="99">
        <v>93</v>
      </c>
      <c r="AI113" s="113" t="s">
        <v>4622</v>
      </c>
      <c r="AJ113" s="113">
        <v>3000000</v>
      </c>
      <c r="AK113" s="99">
        <v>1</v>
      </c>
      <c r="AL113" s="99">
        <f t="shared" si="19"/>
        <v>60</v>
      </c>
      <c r="AM113" s="117">
        <f t="shared" si="9"/>
        <v>180000000</v>
      </c>
      <c r="AN113" s="99"/>
    </row>
    <row r="114" spans="11:43">
      <c r="K114" s="19" t="s">
        <v>4401</v>
      </c>
      <c r="L114" s="170">
        <v>1100000</v>
      </c>
      <c r="M114" s="170">
        <v>7728000</v>
      </c>
      <c r="N114" s="169">
        <f t="shared" si="20"/>
        <v>602.5454545454545</v>
      </c>
      <c r="Q114" s="96"/>
      <c r="R114" s="96"/>
      <c r="S114" s="96"/>
      <c r="T114" s="96"/>
      <c r="V114" s="96"/>
      <c r="AH114" s="99">
        <v>94</v>
      </c>
      <c r="AI114" s="113" t="s">
        <v>4626</v>
      </c>
      <c r="AJ114" s="113">
        <v>-2103736</v>
      </c>
      <c r="AK114" s="99">
        <v>0</v>
      </c>
      <c r="AL114" s="99">
        <f t="shared" si="19"/>
        <v>59</v>
      </c>
      <c r="AM114" s="117">
        <f t="shared" si="9"/>
        <v>-124120424</v>
      </c>
      <c r="AN114" s="99"/>
    </row>
    <row r="115" spans="11:43">
      <c r="K115" s="5" t="s">
        <v>4555</v>
      </c>
      <c r="L115" s="170">
        <v>1100000</v>
      </c>
      <c r="M115" s="170">
        <v>2904000</v>
      </c>
      <c r="N115" s="169">
        <f t="shared" si="20"/>
        <v>164</v>
      </c>
      <c r="Q115" s="96"/>
      <c r="R115" s="96"/>
      <c r="S115" s="96"/>
      <c r="T115" s="99" t="s">
        <v>180</v>
      </c>
      <c r="U115" s="99" t="s">
        <v>4493</v>
      </c>
      <c r="V115" s="99" t="s">
        <v>4494</v>
      </c>
      <c r="W115" s="99" t="s">
        <v>4504</v>
      </c>
      <c r="X115" s="99" t="s">
        <v>8</v>
      </c>
      <c r="Y115" t="s">
        <v>25</v>
      </c>
      <c r="AH115" s="99">
        <v>95</v>
      </c>
      <c r="AI115" s="113" t="s">
        <v>4626</v>
      </c>
      <c r="AJ115" s="113">
        <v>220000</v>
      </c>
      <c r="AK115" s="99">
        <v>3</v>
      </c>
      <c r="AL115" s="99">
        <f t="shared" si="19"/>
        <v>59</v>
      </c>
      <c r="AM115" s="117">
        <f t="shared" si="9"/>
        <v>12980000</v>
      </c>
      <c r="AN115" s="99"/>
      <c r="AQ115" t="s">
        <v>25</v>
      </c>
    </row>
    <row r="116" spans="11:43">
      <c r="K116" s="56" t="s">
        <v>1086</v>
      </c>
      <c r="L116" s="170">
        <v>1100000</v>
      </c>
      <c r="M116" s="170">
        <v>3400000</v>
      </c>
      <c r="N116" s="169">
        <f t="shared" si="20"/>
        <v>209.09090909090909</v>
      </c>
      <c r="Q116" s="36" t="s">
        <v>4595</v>
      </c>
      <c r="R116" s="95">
        <f>SUM(N41:N57)</f>
        <v>272991169.19999999</v>
      </c>
      <c r="T116" s="113" t="s">
        <v>4469</v>
      </c>
      <c r="U116" s="56">
        <v>1000000</v>
      </c>
      <c r="V116" s="113">
        <v>239.024</v>
      </c>
      <c r="W116" s="113">
        <f t="shared" ref="W116:W130" si="21">U116*V116</f>
        <v>239024000</v>
      </c>
      <c r="X116" s="99"/>
      <c r="AH116" s="99">
        <v>96</v>
      </c>
      <c r="AI116" s="113" t="s">
        <v>4636</v>
      </c>
      <c r="AJ116" s="113">
        <v>4000000</v>
      </c>
      <c r="AK116" s="99">
        <v>1</v>
      </c>
      <c r="AL116" s="99">
        <f t="shared" si="19"/>
        <v>56</v>
      </c>
      <c r="AM116" s="117">
        <f t="shared" si="9"/>
        <v>224000000</v>
      </c>
      <c r="AN116" s="99"/>
    </row>
    <row r="117" spans="11:43">
      <c r="K117" s="210" t="s">
        <v>4592</v>
      </c>
      <c r="Q117" s="99" t="s">
        <v>4460</v>
      </c>
      <c r="R117" s="95">
        <f>SUM(N21:N24)</f>
        <v>25874595.300000001</v>
      </c>
      <c r="T117" s="169" t="s">
        <v>4451</v>
      </c>
      <c r="U117" s="56">
        <v>5904</v>
      </c>
      <c r="V117" s="113">
        <v>237.148</v>
      </c>
      <c r="W117" s="113">
        <f t="shared" si="21"/>
        <v>1400121.7919999999</v>
      </c>
      <c r="X117" s="99" t="s">
        <v>751</v>
      </c>
      <c r="AH117" s="99">
        <v>97</v>
      </c>
      <c r="AI117" s="113" t="s">
        <v>4643</v>
      </c>
      <c r="AJ117" s="113">
        <v>-9000000</v>
      </c>
      <c r="AK117" s="99">
        <v>0</v>
      </c>
      <c r="AL117" s="99">
        <f t="shared" si="19"/>
        <v>55</v>
      </c>
      <c r="AM117" s="117">
        <f t="shared" si="9"/>
        <v>-495000000</v>
      </c>
      <c r="AN117" s="99"/>
      <c r="AP117" t="s">
        <v>25</v>
      </c>
    </row>
    <row r="118" spans="11:43">
      <c r="K118" s="210" t="s">
        <v>4593</v>
      </c>
      <c r="P118" s="114"/>
      <c r="Q118" s="99" t="s">
        <v>4461</v>
      </c>
      <c r="R118" s="95">
        <f>SUM(N27:N28)</f>
        <v>3143654.3</v>
      </c>
      <c r="T118" s="169" t="s">
        <v>4233</v>
      </c>
      <c r="U118" s="169">
        <v>1000</v>
      </c>
      <c r="V118" s="113">
        <v>247.393</v>
      </c>
      <c r="W118" s="113">
        <f t="shared" si="21"/>
        <v>247393</v>
      </c>
      <c r="X118" s="99" t="s">
        <v>751</v>
      </c>
      <c r="AH118" s="99">
        <v>98</v>
      </c>
      <c r="AI118" s="113" t="s">
        <v>4643</v>
      </c>
      <c r="AJ118" s="113">
        <v>13900000</v>
      </c>
      <c r="AK118" s="99">
        <v>2</v>
      </c>
      <c r="AL118" s="99">
        <f t="shared" si="19"/>
        <v>55</v>
      </c>
      <c r="AM118" s="117">
        <f t="shared" si="9"/>
        <v>764500000</v>
      </c>
      <c r="AN118" s="99"/>
    </row>
    <row r="119" spans="11:43">
      <c r="K119" s="210" t="s">
        <v>4594</v>
      </c>
      <c r="Q119" s="99" t="s">
        <v>4462</v>
      </c>
      <c r="R119" s="95">
        <f>N39</f>
        <v>16728202</v>
      </c>
      <c r="T119" s="169" t="s">
        <v>4506</v>
      </c>
      <c r="U119" s="169">
        <v>8071</v>
      </c>
      <c r="V119" s="113">
        <v>247.797</v>
      </c>
      <c r="W119" s="113">
        <f t="shared" si="21"/>
        <v>1999969.5870000001</v>
      </c>
      <c r="X119" s="99" t="s">
        <v>4458</v>
      </c>
      <c r="AH119" s="99">
        <v>99</v>
      </c>
      <c r="AI119" s="113" t="s">
        <v>4656</v>
      </c>
      <c r="AJ119" s="113">
        <v>-8127577</v>
      </c>
      <c r="AK119" s="99">
        <v>1</v>
      </c>
      <c r="AL119" s="99">
        <f t="shared" si="19"/>
        <v>53</v>
      </c>
      <c r="AM119" s="117">
        <f t="shared" si="9"/>
        <v>-430761581</v>
      </c>
      <c r="AN119" s="99"/>
      <c r="AO119" t="s">
        <v>25</v>
      </c>
    </row>
    <row r="120" spans="11:43">
      <c r="Q120" s="99" t="s">
        <v>4463</v>
      </c>
      <c r="R120" s="95">
        <f>N20</f>
        <v>6</v>
      </c>
      <c r="T120" s="169" t="s">
        <v>4506</v>
      </c>
      <c r="U120" s="169">
        <v>53672</v>
      </c>
      <c r="V120" s="113">
        <v>247.797</v>
      </c>
      <c r="W120" s="113">
        <f t="shared" si="21"/>
        <v>13299760.584000001</v>
      </c>
      <c r="X120" s="99" t="s">
        <v>452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19"/>
        <v>52</v>
      </c>
      <c r="AM120" s="117">
        <f t="shared" si="9"/>
        <v>821212548</v>
      </c>
      <c r="AN120" s="99"/>
      <c r="AO120" t="s">
        <v>25</v>
      </c>
      <c r="AP120" t="s">
        <v>25</v>
      </c>
    </row>
    <row r="121" spans="11:43">
      <c r="Q121" s="99" t="s">
        <v>4464</v>
      </c>
      <c r="R121" s="95">
        <f>N26</f>
        <v>6</v>
      </c>
      <c r="T121" s="169" t="s">
        <v>4516</v>
      </c>
      <c r="U121" s="169">
        <v>4099</v>
      </c>
      <c r="V121" s="113">
        <v>243.93</v>
      </c>
      <c r="W121" s="113">
        <f t="shared" si="21"/>
        <v>999869.07000000007</v>
      </c>
      <c r="X121" s="99" t="s">
        <v>4458</v>
      </c>
      <c r="AH121" s="99">
        <v>101</v>
      </c>
      <c r="AI121" s="113" t="s">
        <v>4664</v>
      </c>
      <c r="AJ121" s="113">
        <v>8800000</v>
      </c>
      <c r="AK121" s="99">
        <v>4</v>
      </c>
      <c r="AL121" s="99">
        <f t="shared" ref="AL121:AL127" si="22">AL122+AK121</f>
        <v>49</v>
      </c>
      <c r="AM121" s="117">
        <f t="shared" ref="AM121:AM127" si="23">AJ121*AL121</f>
        <v>431200000</v>
      </c>
      <c r="AN121" s="99"/>
      <c r="AP121" t="s">
        <v>25</v>
      </c>
    </row>
    <row r="122" spans="11:43" ht="45">
      <c r="P122" s="114"/>
      <c r="Q122" s="99" t="s">
        <v>4476</v>
      </c>
      <c r="R122" s="95">
        <v>2403068</v>
      </c>
      <c r="T122" s="169" t="s">
        <v>4516</v>
      </c>
      <c r="U122" s="169">
        <v>9301</v>
      </c>
      <c r="V122" s="113">
        <v>243.93</v>
      </c>
      <c r="W122" s="113">
        <f t="shared" si="21"/>
        <v>2268792.9300000002</v>
      </c>
      <c r="X122" s="99" t="s">
        <v>452</v>
      </c>
      <c r="Y122" t="s">
        <v>25</v>
      </c>
      <c r="AH122" s="121">
        <v>102</v>
      </c>
      <c r="AI122" s="79" t="s">
        <v>4664</v>
      </c>
      <c r="AJ122" s="79">
        <v>13071612</v>
      </c>
      <c r="AK122" s="121">
        <v>5</v>
      </c>
      <c r="AL122" s="121">
        <f t="shared" si="22"/>
        <v>45</v>
      </c>
      <c r="AM122" s="79">
        <f t="shared" si="23"/>
        <v>588222540</v>
      </c>
      <c r="AN122" s="213" t="s">
        <v>4671</v>
      </c>
      <c r="AQ122" t="s">
        <v>25</v>
      </c>
    </row>
    <row r="123" spans="11:43">
      <c r="K123" t="s">
        <v>4297</v>
      </c>
      <c r="Q123" s="99" t="s">
        <v>4583</v>
      </c>
      <c r="R123" s="95">
        <v>1254953</v>
      </c>
      <c r="T123" s="169" t="s">
        <v>4524</v>
      </c>
      <c r="U123" s="169">
        <v>8334</v>
      </c>
      <c r="V123" s="113">
        <v>239.97</v>
      </c>
      <c r="W123" s="113">
        <f t="shared" si="21"/>
        <v>1999909.98</v>
      </c>
      <c r="X123" s="99" t="s">
        <v>4458</v>
      </c>
      <c r="AH123" s="99"/>
      <c r="AI123" s="113"/>
      <c r="AJ123" s="113"/>
      <c r="AK123" s="99">
        <v>6</v>
      </c>
      <c r="AL123" s="99">
        <f t="shared" si="22"/>
        <v>40</v>
      </c>
      <c r="AM123" s="117">
        <f t="shared" si="23"/>
        <v>0</v>
      </c>
      <c r="AN123" s="99"/>
    </row>
    <row r="124" spans="11:43">
      <c r="K124" t="s">
        <v>4660</v>
      </c>
      <c r="Q124" s="99" t="s">
        <v>4618</v>
      </c>
      <c r="R124" s="95">
        <v>38700</v>
      </c>
      <c r="T124" s="169" t="s">
        <v>4232</v>
      </c>
      <c r="U124" s="169">
        <v>29041</v>
      </c>
      <c r="V124" s="113">
        <v>233.45</v>
      </c>
      <c r="W124" s="113">
        <f t="shared" si="21"/>
        <v>6779621.4499999993</v>
      </c>
      <c r="X124" s="99" t="s">
        <v>751</v>
      </c>
      <c r="Y124" t="s">
        <v>25</v>
      </c>
      <c r="AH124" s="99"/>
      <c r="AI124" s="113"/>
      <c r="AJ124" s="113"/>
      <c r="AK124" s="99">
        <v>7</v>
      </c>
      <c r="AL124" s="99">
        <f t="shared" si="22"/>
        <v>34</v>
      </c>
      <c r="AM124" s="117">
        <f t="shared" si="23"/>
        <v>0</v>
      </c>
      <c r="AN124" s="99"/>
    </row>
    <row r="125" spans="11:43">
      <c r="K125" t="s">
        <v>4661</v>
      </c>
      <c r="Q125" s="99" t="s">
        <v>4468</v>
      </c>
      <c r="R125" s="95">
        <f>SUM(R116:R124)</f>
        <v>322434353.80000001</v>
      </c>
      <c r="S125" s="115"/>
      <c r="T125" s="169" t="s">
        <v>994</v>
      </c>
      <c r="U125" s="169">
        <v>12337</v>
      </c>
      <c r="V125" s="113">
        <v>243.16300000000001</v>
      </c>
      <c r="W125" s="113">
        <f t="shared" si="21"/>
        <v>2999901.9310000003</v>
      </c>
      <c r="X125" s="99" t="s">
        <v>4458</v>
      </c>
      <c r="AH125" s="99"/>
      <c r="AI125" s="113"/>
      <c r="AJ125" s="113"/>
      <c r="AK125" s="99">
        <v>8</v>
      </c>
      <c r="AL125" s="99">
        <f t="shared" si="22"/>
        <v>27</v>
      </c>
      <c r="AM125" s="117">
        <f t="shared" si="23"/>
        <v>0</v>
      </c>
      <c r="AN125" s="99"/>
      <c r="AP125" t="s">
        <v>25</v>
      </c>
    </row>
    <row r="126" spans="11:43">
      <c r="K126" t="s">
        <v>4662</v>
      </c>
      <c r="Q126" s="96"/>
      <c r="S126" s="122"/>
      <c r="T126" s="169" t="s">
        <v>4626</v>
      </c>
      <c r="U126" s="169">
        <v>-16118</v>
      </c>
      <c r="V126" s="113">
        <v>248.17</v>
      </c>
      <c r="W126" s="113">
        <f t="shared" si="21"/>
        <v>-4000004.0599999996</v>
      </c>
      <c r="X126" s="99" t="s">
        <v>751</v>
      </c>
      <c r="AH126" s="99"/>
      <c r="AI126" s="113"/>
      <c r="AJ126" s="113"/>
      <c r="AK126" s="99">
        <v>9</v>
      </c>
      <c r="AL126" s="99">
        <f t="shared" si="22"/>
        <v>19</v>
      </c>
      <c r="AM126" s="117">
        <f t="shared" si="23"/>
        <v>0</v>
      </c>
      <c r="AN126" s="99"/>
    </row>
    <row r="127" spans="11:43">
      <c r="K127" t="s">
        <v>4552</v>
      </c>
      <c r="Q127" s="96"/>
      <c r="R127" s="184"/>
      <c r="S127" s="115"/>
      <c r="T127" s="169" t="s">
        <v>4664</v>
      </c>
      <c r="U127" s="169">
        <v>101681</v>
      </c>
      <c r="V127" s="113">
        <v>246.5711</v>
      </c>
      <c r="W127" s="113">
        <f t="shared" si="21"/>
        <v>25071596.019099999</v>
      </c>
      <c r="X127" s="99" t="s">
        <v>452</v>
      </c>
      <c r="AH127" s="99" t="s">
        <v>25</v>
      </c>
      <c r="AI127" s="113"/>
      <c r="AJ127" s="113"/>
      <c r="AK127" s="99">
        <v>10</v>
      </c>
      <c r="AL127" s="99">
        <f t="shared" si="22"/>
        <v>10</v>
      </c>
      <c r="AM127" s="117">
        <f t="shared" si="23"/>
        <v>0</v>
      </c>
      <c r="AN127" s="99"/>
    </row>
    <row r="128" spans="11:43">
      <c r="Q128" s="96"/>
      <c r="R128" s="184"/>
      <c r="S128" s="115"/>
      <c r="T128" s="169" t="s">
        <v>4674</v>
      </c>
      <c r="U128" s="169">
        <v>66606</v>
      </c>
      <c r="V128" s="113">
        <v>251.131</v>
      </c>
      <c r="W128" s="113">
        <f t="shared" si="21"/>
        <v>16726831.386</v>
      </c>
      <c r="X128" s="99" t="s">
        <v>751</v>
      </c>
      <c r="AH128" s="99"/>
      <c r="AI128" s="113"/>
      <c r="AJ128" s="113"/>
      <c r="AK128" s="99"/>
      <c r="AL128" s="99">
        <f t="shared" si="19"/>
        <v>0</v>
      </c>
      <c r="AM128" s="117">
        <f t="shared" si="9"/>
        <v>0</v>
      </c>
      <c r="AN128" s="99"/>
    </row>
    <row r="129" spans="17:40">
      <c r="Q129" s="96"/>
      <c r="R129" s="115"/>
      <c r="T129" s="169"/>
      <c r="U129" s="169"/>
      <c r="V129" s="113"/>
      <c r="W129" s="113"/>
      <c r="X129" s="99"/>
      <c r="AH129" s="99"/>
      <c r="AI129" s="99"/>
      <c r="AJ129" s="95">
        <f>SUM(AJ20:AJ128)</f>
        <v>249172615</v>
      </c>
      <c r="AK129" s="99"/>
      <c r="AL129" s="99"/>
      <c r="AM129" s="95">
        <f>SUM(AM20:AM128)</f>
        <v>44876987583</v>
      </c>
      <c r="AN129" s="95">
        <f>AM129*AN132/31</f>
        <v>28952895.21483871</v>
      </c>
    </row>
    <row r="130" spans="17:40">
      <c r="T130" s="169"/>
      <c r="U130" s="169"/>
      <c r="V130" s="113"/>
      <c r="W130" s="113">
        <f t="shared" si="21"/>
        <v>0</v>
      </c>
      <c r="X130" s="99"/>
      <c r="AH130" s="99"/>
      <c r="AI130" s="99"/>
      <c r="AJ130" s="99" t="s">
        <v>4060</v>
      </c>
      <c r="AK130" s="99"/>
      <c r="AL130" s="99"/>
      <c r="AM130" s="99" t="s">
        <v>284</v>
      </c>
      <c r="AN130" s="99" t="s">
        <v>943</v>
      </c>
    </row>
    <row r="131" spans="17:40">
      <c r="Q131" s="99" t="s">
        <v>4458</v>
      </c>
      <c r="R131" s="99"/>
      <c r="T131" s="169"/>
      <c r="U131" s="169">
        <f>SUM(U116:U130)</f>
        <v>1283928</v>
      </c>
      <c r="V131" s="99"/>
      <c r="W131" s="99"/>
      <c r="X131" s="99"/>
      <c r="AH131" s="99"/>
      <c r="AI131" s="99"/>
      <c r="AJ131" s="99"/>
      <c r="AK131" s="99"/>
      <c r="AL131" s="99"/>
      <c r="AM131" s="99"/>
      <c r="AN131" s="99"/>
    </row>
    <row r="132" spans="17:40">
      <c r="Q132" s="36" t="s">
        <v>180</v>
      </c>
      <c r="R132" s="99" t="s">
        <v>267</v>
      </c>
      <c r="T132" s="99"/>
      <c r="U132" s="99" t="s">
        <v>6</v>
      </c>
      <c r="V132" s="99"/>
      <c r="W132" s="99"/>
      <c r="X132" s="99"/>
      <c r="AH132" s="99"/>
      <c r="AI132" s="99"/>
      <c r="AJ132" s="99"/>
      <c r="AK132" s="99"/>
      <c r="AL132" s="99"/>
      <c r="AM132" s="99" t="s">
        <v>4061</v>
      </c>
      <c r="AN132" s="99">
        <v>0.02</v>
      </c>
    </row>
    <row r="133" spans="17:40">
      <c r="Q133" s="99" t="s">
        <v>4451</v>
      </c>
      <c r="R133" s="95">
        <v>3000000</v>
      </c>
      <c r="T133" s="204" t="s">
        <v>4495</v>
      </c>
      <c r="AH133" s="99"/>
      <c r="AI133" s="99"/>
      <c r="AJ133" s="99"/>
      <c r="AK133" s="99"/>
      <c r="AL133" s="99"/>
      <c r="AM133" s="99"/>
      <c r="AN133" s="99"/>
    </row>
    <row r="134" spans="17:40">
      <c r="Q134" s="99" t="s">
        <v>4506</v>
      </c>
      <c r="R134" s="95">
        <v>2000000</v>
      </c>
      <c r="T134" s="203">
        <f>R125/U131</f>
        <v>251.13118009732634</v>
      </c>
      <c r="AH134" s="99"/>
      <c r="AI134" s="99" t="s">
        <v>4062</v>
      </c>
      <c r="AJ134" s="95">
        <f>AJ129+AN129</f>
        <v>278125510.21483868</v>
      </c>
      <c r="AK134" s="99"/>
      <c r="AL134" s="99"/>
      <c r="AM134" s="99"/>
      <c r="AN134" s="99"/>
    </row>
    <row r="135" spans="17:40">
      <c r="Q135" s="99" t="s">
        <v>4516</v>
      </c>
      <c r="R135" s="95">
        <v>1000000</v>
      </c>
      <c r="W135" s="114"/>
      <c r="AI135" t="s">
        <v>4065</v>
      </c>
      <c r="AJ135" s="114">
        <f>SUM(N39:N57)</f>
        <v>289719371.19999999</v>
      </c>
    </row>
    <row r="136" spans="17:40">
      <c r="Q136" s="99" t="s">
        <v>4524</v>
      </c>
      <c r="R136" s="95">
        <v>2000000</v>
      </c>
      <c r="U136" s="96" t="s">
        <v>267</v>
      </c>
      <c r="V136" t="s">
        <v>4496</v>
      </c>
      <c r="Y136" t="s">
        <v>25</v>
      </c>
      <c r="AI136" t="s">
        <v>4137</v>
      </c>
      <c r="AJ136" s="114">
        <f>AJ135-AJ129</f>
        <v>40546756.199999988</v>
      </c>
      <c r="AM136" t="s">
        <v>25</v>
      </c>
    </row>
    <row r="137" spans="17:40">
      <c r="Q137" s="99" t="s">
        <v>994</v>
      </c>
      <c r="R137" s="95">
        <v>3000000</v>
      </c>
      <c r="U137" s="113">
        <v>16727037</v>
      </c>
      <c r="V137">
        <f>U137/T134</f>
        <v>66606.770985257215</v>
      </c>
      <c r="X137" t="s">
        <v>25</v>
      </c>
      <c r="AI137" t="s">
        <v>943</v>
      </c>
      <c r="AJ137" s="114">
        <f>AN129</f>
        <v>28952895.21483871</v>
      </c>
    </row>
    <row r="138" spans="17:40">
      <c r="Q138" s="99"/>
      <c r="R138" s="95"/>
      <c r="X138" t="s">
        <v>25</v>
      </c>
      <c r="AI138" t="s">
        <v>4066</v>
      </c>
      <c r="AJ138" s="114">
        <f>AJ135-AJ134</f>
        <v>11593860.985161304</v>
      </c>
    </row>
    <row r="139" spans="17:40">
      <c r="Q139" s="99"/>
      <c r="R139" s="95">
        <f>SUM(R133:R137)</f>
        <v>11000000</v>
      </c>
      <c r="AM139" t="s">
        <v>25</v>
      </c>
    </row>
    <row r="140" spans="17:40">
      <c r="Q140" s="99"/>
      <c r="R140" s="99" t="s">
        <v>6</v>
      </c>
      <c r="AJ140" t="s">
        <v>25</v>
      </c>
    </row>
    <row r="142" spans="17:40" ht="60">
      <c r="Q142" s="96"/>
      <c r="R142" s="96"/>
      <c r="T142" s="22" t="s">
        <v>4479</v>
      </c>
    </row>
    <row r="143" spans="17:40" ht="45">
      <c r="Q143" s="96"/>
      <c r="R143" s="96"/>
      <c r="T143" s="22" t="s">
        <v>4480</v>
      </c>
    </row>
    <row r="145" spans="17:44">
      <c r="Q145" s="99" t="s">
        <v>751</v>
      </c>
      <c r="R145" s="99"/>
      <c r="AH145" s="99" t="s">
        <v>3642</v>
      </c>
      <c r="AI145" s="99" t="s">
        <v>180</v>
      </c>
      <c r="AJ145" s="99" t="s">
        <v>267</v>
      </c>
      <c r="AK145" s="99" t="s">
        <v>4059</v>
      </c>
      <c r="AL145" s="99" t="s">
        <v>4051</v>
      </c>
      <c r="AM145" s="99" t="s">
        <v>282</v>
      </c>
      <c r="AN145" s="99" t="s">
        <v>4294</v>
      </c>
    </row>
    <row r="146" spans="17:44">
      <c r="Q146" s="99" t="s">
        <v>4451</v>
      </c>
      <c r="R146" s="95">
        <v>172908000</v>
      </c>
      <c r="T146" s="99" t="s">
        <v>4497</v>
      </c>
      <c r="U146" s="99" t="s">
        <v>4468</v>
      </c>
      <c r="V146" s="99" t="s">
        <v>953</v>
      </c>
      <c r="AH146" s="99">
        <v>1</v>
      </c>
      <c r="AI146" s="99" t="s">
        <v>3950</v>
      </c>
      <c r="AJ146" s="117">
        <v>3555820</v>
      </c>
      <c r="AK146" s="99">
        <v>2</v>
      </c>
      <c r="AL146" s="99">
        <f>AK146+AL147</f>
        <v>178</v>
      </c>
      <c r="AM146" s="99">
        <f>AJ146*AL146</f>
        <v>632935960</v>
      </c>
      <c r="AN146" s="99" t="s">
        <v>4317</v>
      </c>
      <c r="AR146" t="s">
        <v>25</v>
      </c>
    </row>
    <row r="147" spans="17:44">
      <c r="Q147" s="99" t="s">
        <v>4492</v>
      </c>
      <c r="R147" s="95">
        <v>1400000</v>
      </c>
      <c r="T147" s="95">
        <f>R139+R153+R164</f>
        <v>308818042</v>
      </c>
      <c r="U147" s="95">
        <f>R125</f>
        <v>322434353.80000001</v>
      </c>
      <c r="V147" s="95">
        <f>U147-T147</f>
        <v>13616311.800000012</v>
      </c>
      <c r="AH147" s="99">
        <v>2</v>
      </c>
      <c r="AI147" s="99" t="s">
        <v>4025</v>
      </c>
      <c r="AJ147" s="117">
        <v>1720837</v>
      </c>
      <c r="AK147" s="99">
        <v>51</v>
      </c>
      <c r="AL147" s="99">
        <f t="shared" ref="AL147:AL156" si="24">AK147+AL148</f>
        <v>176</v>
      </c>
      <c r="AM147" s="99">
        <f t="shared" ref="AM147:AM174" si="25">AJ147*AL147</f>
        <v>302867312</v>
      </c>
      <c r="AN147" s="99" t="s">
        <v>4318</v>
      </c>
    </row>
    <row r="148" spans="17:44">
      <c r="Q148" s="99" t="s">
        <v>4233</v>
      </c>
      <c r="R148" s="95">
        <v>247393</v>
      </c>
      <c r="AH148" s="99">
        <v>3</v>
      </c>
      <c r="AI148" s="99" t="s">
        <v>4131</v>
      </c>
      <c r="AJ148" s="117">
        <v>150000</v>
      </c>
      <c r="AK148" s="99">
        <v>3</v>
      </c>
      <c r="AL148" s="99">
        <f t="shared" si="24"/>
        <v>125</v>
      </c>
      <c r="AM148" s="99">
        <f t="shared" si="25"/>
        <v>18750000</v>
      </c>
      <c r="AN148" s="99"/>
    </row>
    <row r="149" spans="17:44">
      <c r="Q149" s="99" t="s">
        <v>4232</v>
      </c>
      <c r="R149" s="95">
        <v>6780000</v>
      </c>
      <c r="AH149" s="99">
        <v>4</v>
      </c>
      <c r="AI149" s="99" t="s">
        <v>4146</v>
      </c>
      <c r="AJ149" s="117">
        <v>-95000</v>
      </c>
      <c r="AK149" s="99">
        <v>8</v>
      </c>
      <c r="AL149" s="99">
        <f t="shared" si="24"/>
        <v>122</v>
      </c>
      <c r="AM149" s="99">
        <f t="shared" si="25"/>
        <v>-11590000</v>
      </c>
      <c r="AN149" s="99"/>
    </row>
    <row r="150" spans="17:44">
      <c r="Q150" s="99" t="s">
        <v>4626</v>
      </c>
      <c r="R150" s="95">
        <v>-4000000</v>
      </c>
      <c r="AH150" s="99">
        <v>5</v>
      </c>
      <c r="AI150" s="99" t="s">
        <v>4173</v>
      </c>
      <c r="AJ150" s="117">
        <v>3150000</v>
      </c>
      <c r="AK150" s="99">
        <v>16</v>
      </c>
      <c r="AL150" s="99">
        <f t="shared" si="24"/>
        <v>114</v>
      </c>
      <c r="AM150" s="99">
        <f t="shared" si="25"/>
        <v>359100000</v>
      </c>
      <c r="AN150" s="99"/>
    </row>
    <row r="151" spans="17:44">
      <c r="Q151" s="99" t="s">
        <v>4674</v>
      </c>
      <c r="R151" s="95">
        <v>16727037</v>
      </c>
      <c r="AH151" s="99">
        <v>6</v>
      </c>
      <c r="AI151" s="99" t="s">
        <v>4242</v>
      </c>
      <c r="AJ151" s="117">
        <v>-65000</v>
      </c>
      <c r="AK151" s="99">
        <v>1</v>
      </c>
      <c r="AL151" s="99">
        <f t="shared" si="24"/>
        <v>98</v>
      </c>
      <c r="AM151" s="99">
        <f t="shared" si="25"/>
        <v>-6370000</v>
      </c>
      <c r="AN151" s="99"/>
    </row>
    <row r="152" spans="17:44">
      <c r="Q152" s="99"/>
      <c r="R152" s="95"/>
      <c r="AH152" s="99">
        <v>7</v>
      </c>
      <c r="AI152" s="99" t="s">
        <v>4319</v>
      </c>
      <c r="AJ152" s="117">
        <v>-95000</v>
      </c>
      <c r="AK152" s="99">
        <v>6</v>
      </c>
      <c r="AL152" s="99">
        <f t="shared" si="24"/>
        <v>97</v>
      </c>
      <c r="AM152" s="99">
        <f t="shared" si="25"/>
        <v>-9215000</v>
      </c>
      <c r="AN152" s="99"/>
    </row>
    <row r="153" spans="17:44">
      <c r="Q153" s="99"/>
      <c r="R153" s="95">
        <f>SUM(R146:R151)</f>
        <v>194062430</v>
      </c>
      <c r="AH153" s="99">
        <v>8</v>
      </c>
      <c r="AI153" s="99" t="s">
        <v>4320</v>
      </c>
      <c r="AJ153" s="117">
        <v>232000</v>
      </c>
      <c r="AK153" s="99">
        <v>7</v>
      </c>
      <c r="AL153" s="99">
        <f t="shared" si="24"/>
        <v>91</v>
      </c>
      <c r="AM153" s="99">
        <f t="shared" si="25"/>
        <v>21112000</v>
      </c>
      <c r="AN153" s="99"/>
    </row>
    <row r="154" spans="17:44">
      <c r="Q154" s="99"/>
      <c r="R154" s="99" t="s">
        <v>6</v>
      </c>
      <c r="AH154" s="99">
        <v>9</v>
      </c>
      <c r="AI154" s="99" t="s">
        <v>4293</v>
      </c>
      <c r="AJ154" s="117">
        <v>13000000</v>
      </c>
      <c r="AK154" s="99">
        <v>2</v>
      </c>
      <c r="AL154" s="99">
        <f t="shared" si="24"/>
        <v>84</v>
      </c>
      <c r="AM154" s="99">
        <f t="shared" si="25"/>
        <v>1092000000</v>
      </c>
      <c r="AN154" s="99"/>
    </row>
    <row r="155" spans="17:44">
      <c r="AH155" s="99">
        <v>10</v>
      </c>
      <c r="AI155" s="99" t="s">
        <v>4321</v>
      </c>
      <c r="AJ155" s="117">
        <v>10000000</v>
      </c>
      <c r="AK155" s="99">
        <v>3</v>
      </c>
      <c r="AL155" s="99">
        <f t="shared" si="24"/>
        <v>82</v>
      </c>
      <c r="AM155" s="99">
        <f t="shared" si="25"/>
        <v>820000000</v>
      </c>
      <c r="AN155" s="99"/>
    </row>
    <row r="156" spans="17:44">
      <c r="S156" t="s">
        <v>25</v>
      </c>
      <c r="AH156" s="99">
        <v>11</v>
      </c>
      <c r="AI156" s="99" t="s">
        <v>4306</v>
      </c>
      <c r="AJ156" s="117">
        <v>3400000</v>
      </c>
      <c r="AK156" s="99">
        <v>9</v>
      </c>
      <c r="AL156" s="99">
        <f t="shared" si="24"/>
        <v>79</v>
      </c>
      <c r="AM156" s="99">
        <f t="shared" si="25"/>
        <v>268600000</v>
      </c>
      <c r="AN156" s="99"/>
    </row>
    <row r="157" spans="17:44">
      <c r="Q157" s="99" t="s">
        <v>452</v>
      </c>
      <c r="R157" s="99"/>
      <c r="AH157" s="99">
        <v>12</v>
      </c>
      <c r="AI157" s="99" t="s">
        <v>4353</v>
      </c>
      <c r="AJ157" s="117">
        <v>-8736514</v>
      </c>
      <c r="AK157" s="99">
        <v>1</v>
      </c>
      <c r="AL157" s="99">
        <f>AK157+AL158</f>
        <v>70</v>
      </c>
      <c r="AM157" s="99">
        <f t="shared" si="25"/>
        <v>-611555980</v>
      </c>
      <c r="AN157" s="99"/>
    </row>
    <row r="158" spans="17:44">
      <c r="Q158" s="99" t="s">
        <v>4451</v>
      </c>
      <c r="R158" s="95">
        <v>63115000</v>
      </c>
      <c r="AH158" s="99">
        <v>13</v>
      </c>
      <c r="AI158" s="99" t="s">
        <v>4354</v>
      </c>
      <c r="AJ158" s="117">
        <v>555000</v>
      </c>
      <c r="AK158" s="99">
        <v>5</v>
      </c>
      <c r="AL158" s="99">
        <f t="shared" ref="AL158:AL174" si="26">AK158+AL159</f>
        <v>69</v>
      </c>
      <c r="AM158" s="99">
        <f t="shared" si="25"/>
        <v>38295000</v>
      </c>
      <c r="AN158" s="99"/>
    </row>
    <row r="159" spans="17:44">
      <c r="Q159" s="99" t="s">
        <v>4506</v>
      </c>
      <c r="R159" s="95">
        <v>13300000</v>
      </c>
      <c r="AH159" s="99">
        <v>14</v>
      </c>
      <c r="AI159" s="99" t="s">
        <v>4378</v>
      </c>
      <c r="AJ159" s="117">
        <v>-448308</v>
      </c>
      <c r="AK159" s="99">
        <v>6</v>
      </c>
      <c r="AL159" s="99">
        <f t="shared" si="26"/>
        <v>64</v>
      </c>
      <c r="AM159" s="99">
        <f t="shared" si="25"/>
        <v>-28691712</v>
      </c>
      <c r="AN159" s="99"/>
    </row>
    <row r="160" spans="17:44">
      <c r="Q160" s="99" t="s">
        <v>4516</v>
      </c>
      <c r="R160" s="95">
        <v>2269000</v>
      </c>
      <c r="AH160" s="99">
        <v>15</v>
      </c>
      <c r="AI160" s="99" t="s">
        <v>4410</v>
      </c>
      <c r="AJ160" s="117">
        <v>33225</v>
      </c>
      <c r="AK160" s="99">
        <v>0</v>
      </c>
      <c r="AL160" s="99">
        <f t="shared" si="26"/>
        <v>58</v>
      </c>
      <c r="AM160" s="99">
        <f t="shared" si="25"/>
        <v>1927050</v>
      </c>
      <c r="AN160" s="99"/>
    </row>
    <row r="161" spans="17:40">
      <c r="Q161" s="99" t="s">
        <v>4664</v>
      </c>
      <c r="R161" s="95">
        <v>25071612</v>
      </c>
      <c r="AH161" s="149">
        <v>16</v>
      </c>
      <c r="AI161" s="149" t="s">
        <v>4410</v>
      </c>
      <c r="AJ161" s="191">
        <v>4098523</v>
      </c>
      <c r="AK161" s="149">
        <v>2</v>
      </c>
      <c r="AL161" s="149">
        <f t="shared" si="26"/>
        <v>58</v>
      </c>
      <c r="AM161" s="149">
        <f t="shared" si="25"/>
        <v>237714334</v>
      </c>
      <c r="AN161" s="149" t="s">
        <v>657</v>
      </c>
    </row>
    <row r="162" spans="17:40">
      <c r="Q162" s="99"/>
      <c r="R162" s="95"/>
      <c r="AH162" s="149">
        <v>17</v>
      </c>
      <c r="AI162" s="149" t="s">
        <v>4424</v>
      </c>
      <c r="AJ162" s="191">
        <v>-1000000</v>
      </c>
      <c r="AK162" s="149">
        <v>7</v>
      </c>
      <c r="AL162" s="149">
        <f t="shared" si="26"/>
        <v>56</v>
      </c>
      <c r="AM162" s="149">
        <f t="shared" si="25"/>
        <v>-56000000</v>
      </c>
      <c r="AN162" s="149" t="s">
        <v>657</v>
      </c>
    </row>
    <row r="163" spans="17:40">
      <c r="Q163" s="99"/>
      <c r="R163" s="95"/>
      <c r="T163" t="s">
        <v>25</v>
      </c>
      <c r="AH163" s="149">
        <v>18</v>
      </c>
      <c r="AI163" s="149" t="s">
        <v>4447</v>
      </c>
      <c r="AJ163" s="191">
        <v>750000</v>
      </c>
      <c r="AK163" s="149">
        <v>1</v>
      </c>
      <c r="AL163" s="149">
        <f t="shared" si="26"/>
        <v>49</v>
      </c>
      <c r="AM163" s="149">
        <f t="shared" si="25"/>
        <v>36750000</v>
      </c>
      <c r="AN163" s="149" t="s">
        <v>657</v>
      </c>
    </row>
    <row r="164" spans="17:40">
      <c r="Q164" s="99"/>
      <c r="R164" s="95">
        <f>SUM(R158:R161)</f>
        <v>103755612</v>
      </c>
      <c r="AH164" s="199">
        <v>19</v>
      </c>
      <c r="AI164" s="199" t="s">
        <v>4449</v>
      </c>
      <c r="AJ164" s="200">
        <v>-604152</v>
      </c>
      <c r="AK164" s="199">
        <v>0</v>
      </c>
      <c r="AL164" s="199">
        <f t="shared" si="26"/>
        <v>48</v>
      </c>
      <c r="AM164" s="199">
        <f t="shared" si="25"/>
        <v>-28999296</v>
      </c>
      <c r="AN164" s="199" t="s">
        <v>657</v>
      </c>
    </row>
    <row r="165" spans="17:40">
      <c r="Q165" s="99"/>
      <c r="R165" s="99" t="s">
        <v>6</v>
      </c>
      <c r="AH165" s="99">
        <v>20</v>
      </c>
      <c r="AI165" s="99" t="s">
        <v>4450</v>
      </c>
      <c r="AJ165" s="117">
        <v>-587083</v>
      </c>
      <c r="AK165" s="99">
        <v>4</v>
      </c>
      <c r="AL165" s="99">
        <f t="shared" si="26"/>
        <v>48</v>
      </c>
      <c r="AM165" s="99">
        <f t="shared" si="25"/>
        <v>-28179984</v>
      </c>
      <c r="AN165" s="99"/>
    </row>
    <row r="166" spans="17:40">
      <c r="AH166" s="199">
        <v>21</v>
      </c>
      <c r="AI166" s="199" t="s">
        <v>4451</v>
      </c>
      <c r="AJ166" s="200">
        <v>-754351</v>
      </c>
      <c r="AK166" s="199">
        <v>0</v>
      </c>
      <c r="AL166" s="149">
        <f t="shared" si="26"/>
        <v>44</v>
      </c>
      <c r="AM166" s="199">
        <f t="shared" si="25"/>
        <v>-33191444</v>
      </c>
      <c r="AN166" s="199" t="s">
        <v>657</v>
      </c>
    </row>
    <row r="167" spans="17:40">
      <c r="T167" t="s">
        <v>25</v>
      </c>
      <c r="AH167" s="99">
        <v>22</v>
      </c>
      <c r="AI167" s="99" t="s">
        <v>4451</v>
      </c>
      <c r="AJ167" s="117">
        <v>-189619</v>
      </c>
      <c r="AK167" s="99">
        <v>15</v>
      </c>
      <c r="AL167" s="99">
        <f t="shared" si="26"/>
        <v>44</v>
      </c>
      <c r="AM167" s="99">
        <f t="shared" si="25"/>
        <v>-8343236</v>
      </c>
      <c r="AN167" s="99"/>
    </row>
    <row r="168" spans="17:40">
      <c r="AH168" s="199">
        <v>23</v>
      </c>
      <c r="AI168" s="199" t="s">
        <v>4528</v>
      </c>
      <c r="AJ168" s="199">
        <v>7100</v>
      </c>
      <c r="AK168" s="199">
        <v>0</v>
      </c>
      <c r="AL168" s="149">
        <f t="shared" si="26"/>
        <v>29</v>
      </c>
      <c r="AM168" s="199">
        <f t="shared" si="25"/>
        <v>205900</v>
      </c>
      <c r="AN168" s="199" t="s">
        <v>657</v>
      </c>
    </row>
    <row r="169" spans="17:40">
      <c r="AH169" s="20">
        <v>24</v>
      </c>
      <c r="AI169" s="20" t="s">
        <v>4528</v>
      </c>
      <c r="AJ169" s="20">
        <v>-147902</v>
      </c>
      <c r="AK169" s="20">
        <v>3</v>
      </c>
      <c r="AL169" s="99">
        <f t="shared" si="26"/>
        <v>29</v>
      </c>
      <c r="AM169" s="20">
        <f t="shared" si="25"/>
        <v>-4289158</v>
      </c>
      <c r="AN169" s="20"/>
    </row>
    <row r="170" spans="17:40">
      <c r="AH170" s="149">
        <v>25</v>
      </c>
      <c r="AI170" s="149" t="s">
        <v>4536</v>
      </c>
      <c r="AJ170" s="149">
        <v>-37200</v>
      </c>
      <c r="AK170" s="149">
        <v>4</v>
      </c>
      <c r="AL170" s="149">
        <f t="shared" si="26"/>
        <v>26</v>
      </c>
      <c r="AM170" s="199">
        <f t="shared" si="25"/>
        <v>-967200</v>
      </c>
      <c r="AN170" s="149" t="s">
        <v>657</v>
      </c>
    </row>
    <row r="171" spans="17:40">
      <c r="AH171" s="99">
        <v>26</v>
      </c>
      <c r="AI171" s="99" t="s">
        <v>4570</v>
      </c>
      <c r="AJ171" s="99">
        <v>-372326</v>
      </c>
      <c r="AK171" s="99">
        <v>21</v>
      </c>
      <c r="AL171" s="99">
        <f t="shared" si="26"/>
        <v>22</v>
      </c>
      <c r="AM171" s="20">
        <f t="shared" si="25"/>
        <v>-8191172</v>
      </c>
      <c r="AN171" s="99"/>
    </row>
    <row r="172" spans="17:40">
      <c r="AH172" s="99">
        <v>27</v>
      </c>
      <c r="AI172" s="99" t="s">
        <v>4643</v>
      </c>
      <c r="AJ172" s="99">
        <v>235062</v>
      </c>
      <c r="AK172" s="99">
        <v>0</v>
      </c>
      <c r="AL172" s="99">
        <f t="shared" si="26"/>
        <v>1</v>
      </c>
      <c r="AM172" s="20">
        <f t="shared" si="25"/>
        <v>235062</v>
      </c>
      <c r="AN172" s="99"/>
    </row>
    <row r="173" spans="17:40">
      <c r="AH173" s="149">
        <v>28</v>
      </c>
      <c r="AI173" s="149" t="s">
        <v>4643</v>
      </c>
      <c r="AJ173" s="149">
        <v>235062</v>
      </c>
      <c r="AK173" s="149">
        <v>1</v>
      </c>
      <c r="AL173" s="149">
        <f t="shared" si="26"/>
        <v>1</v>
      </c>
      <c r="AM173" s="149">
        <f t="shared" si="25"/>
        <v>235062</v>
      </c>
      <c r="AN173" s="149" t="s">
        <v>657</v>
      </c>
    </row>
    <row r="174" spans="17:40">
      <c r="AH174" s="99"/>
      <c r="AI174" s="99"/>
      <c r="AJ174" s="99"/>
      <c r="AK174" s="99"/>
      <c r="AL174" s="99">
        <f t="shared" si="26"/>
        <v>0</v>
      </c>
      <c r="AM174" s="20">
        <f t="shared" si="25"/>
        <v>0</v>
      </c>
      <c r="AN174" s="99"/>
    </row>
    <row r="175" spans="17:40">
      <c r="AH175" s="99"/>
      <c r="AI175" s="99"/>
      <c r="AJ175" s="99"/>
      <c r="AK175" s="99"/>
      <c r="AL175" s="99"/>
      <c r="AM175" s="99"/>
      <c r="AN175" s="99"/>
    </row>
    <row r="176" spans="17:40">
      <c r="AH176" s="99"/>
      <c r="AI176" s="99"/>
      <c r="AJ176" s="95">
        <f>SUM(AJ146:AJ175)</f>
        <v>27990174</v>
      </c>
      <c r="AK176" s="99"/>
      <c r="AL176" s="99"/>
      <c r="AM176" s="99">
        <f>SUM(AM146:AM175)</f>
        <v>2995143498</v>
      </c>
      <c r="AN176" s="95">
        <f>AM176*AN132/31</f>
        <v>1932350.6438709677</v>
      </c>
    </row>
    <row r="177" spans="35:40">
      <c r="AJ177" t="s">
        <v>4060</v>
      </c>
      <c r="AM177" t="s">
        <v>284</v>
      </c>
      <c r="AN177" t="s">
        <v>943</v>
      </c>
    </row>
    <row r="179" spans="35:40">
      <c r="AI179" t="s">
        <v>4062</v>
      </c>
      <c r="AJ179" s="114">
        <f>AJ176+AN176</f>
        <v>29922524.643870968</v>
      </c>
    </row>
    <row r="180" spans="35:40">
      <c r="AI180" t="s">
        <v>4065</v>
      </c>
      <c r="AJ180" s="114">
        <f>SUM(N20:N28)</f>
        <v>29018261.600000001</v>
      </c>
    </row>
    <row r="181" spans="35:40">
      <c r="AI181" t="s">
        <v>4137</v>
      </c>
      <c r="AJ181" s="114">
        <f>AJ180-AJ176</f>
        <v>1028087.6000000015</v>
      </c>
    </row>
    <row r="182" spans="35:40">
      <c r="AI182" t="s">
        <v>943</v>
      </c>
      <c r="AJ182" s="114">
        <f>AN176</f>
        <v>1932350.6438709677</v>
      </c>
    </row>
    <row r="183" spans="35:40">
      <c r="AI183" t="s">
        <v>4066</v>
      </c>
      <c r="AJ183" s="114">
        <f>AJ181-AJ182</f>
        <v>-904263.04387096618</v>
      </c>
      <c r="AN183" t="s">
        <v>25</v>
      </c>
    </row>
    <row r="184" spans="35:40">
      <c r="AN184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 S28 P22 U103 S76:S77 S8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B1" workbookViewId="0">
      <selection activeCell="M20" sqref="M2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9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19">
      <c r="A2" s="99" t="s">
        <v>4244</v>
      </c>
      <c r="B2" s="207">
        <v>1707</v>
      </c>
      <c r="C2" s="209" t="s">
        <v>4649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9">
      <c r="A3" s="99" t="s">
        <v>4616</v>
      </c>
      <c r="B3" s="207">
        <v>1184</v>
      </c>
      <c r="C3" s="209" t="s">
        <v>4623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9">
      <c r="A4" s="99" t="s">
        <v>4617</v>
      </c>
      <c r="B4" s="207">
        <v>1804</v>
      </c>
      <c r="C4" s="209" t="s">
        <v>4624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9">
      <c r="A5" s="99"/>
      <c r="B5" s="207"/>
      <c r="C5" s="209"/>
      <c r="D5" s="99"/>
      <c r="J5" s="169">
        <v>4</v>
      </c>
      <c r="K5" s="169" t="s">
        <v>4656</v>
      </c>
      <c r="L5" s="113">
        <v>0</v>
      </c>
      <c r="M5" s="169">
        <v>3</v>
      </c>
      <c r="N5" s="113">
        <f t="shared" ref="N5" si="0">L5*M5</f>
        <v>0</v>
      </c>
      <c r="O5" s="99" t="s">
        <v>4663</v>
      </c>
    </row>
    <row r="6" spans="1:19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4664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</row>
    <row r="7" spans="1:19">
      <c r="A7" s="99" t="s">
        <v>4586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4674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</row>
    <row r="8" spans="1:19">
      <c r="A8" s="99" t="s">
        <v>4553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/>
      <c r="K8" s="169"/>
      <c r="L8" s="113"/>
      <c r="M8" s="169"/>
      <c r="N8" s="113"/>
      <c r="O8" s="99"/>
      <c r="P8" s="96"/>
      <c r="Q8" s="96"/>
      <c r="R8" s="96"/>
      <c r="S8" s="96"/>
    </row>
    <row r="9" spans="1:19">
      <c r="A9" s="99" t="s">
        <v>4610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/>
      <c r="K9" s="169"/>
      <c r="L9" s="113"/>
      <c r="M9" s="169"/>
      <c r="N9" s="113"/>
      <c r="O9" s="99"/>
      <c r="P9" s="96"/>
      <c r="Q9" s="96"/>
      <c r="R9" s="96"/>
      <c r="S9" s="96"/>
    </row>
    <row r="10" spans="1:19">
      <c r="A10" s="99" t="s">
        <v>4416</v>
      </c>
      <c r="B10" s="207">
        <v>472</v>
      </c>
      <c r="C10" s="170">
        <v>540</v>
      </c>
      <c r="D10" s="99"/>
      <c r="F10">
        <v>0</v>
      </c>
      <c r="G10" t="s">
        <v>25</v>
      </c>
      <c r="J10" s="169"/>
      <c r="K10" s="169"/>
      <c r="L10" s="169"/>
      <c r="M10" s="169">
        <f>SUM(M2:M9)</f>
        <v>29</v>
      </c>
      <c r="N10" s="113">
        <f>SUM(N2:N5)</f>
        <v>64860000</v>
      </c>
      <c r="O10" s="99"/>
    </row>
    <row r="11" spans="1:19">
      <c r="A11" s="99"/>
      <c r="B11" s="207"/>
      <c r="C11" s="170"/>
      <c r="D11" s="99"/>
      <c r="F11" s="114">
        <v>0</v>
      </c>
      <c r="J11" s="169"/>
      <c r="K11" s="169"/>
      <c r="L11" s="169"/>
      <c r="M11" s="169" t="s">
        <v>6</v>
      </c>
      <c r="N11" s="169"/>
      <c r="O11" s="99"/>
    </row>
    <row r="12" spans="1:19">
      <c r="A12" s="99" t="s">
        <v>4572</v>
      </c>
      <c r="B12" s="207">
        <v>-392456</v>
      </c>
      <c r="C12" s="170"/>
      <c r="D12" s="59" t="s">
        <v>4642</v>
      </c>
      <c r="F12" s="114">
        <v>0</v>
      </c>
      <c r="M12" s="113">
        <f>N10/M10</f>
        <v>2236551.7241379311</v>
      </c>
    </row>
    <row r="13" spans="1:19">
      <c r="A13" s="99"/>
      <c r="B13" s="207"/>
      <c r="C13" s="170"/>
      <c r="D13" s="99"/>
      <c r="F13" s="114">
        <v>0</v>
      </c>
      <c r="M13" s="41" t="s">
        <v>4538</v>
      </c>
      <c r="N13" t="s">
        <v>25</v>
      </c>
    </row>
    <row r="14" spans="1:19">
      <c r="A14" s="99"/>
      <c r="B14" s="207"/>
      <c r="C14" s="170"/>
      <c r="D14" s="99"/>
      <c r="F14" s="114">
        <v>0</v>
      </c>
    </row>
    <row r="15" spans="1:19">
      <c r="A15" s="99"/>
      <c r="B15" s="207"/>
      <c r="C15" s="170"/>
      <c r="D15" s="99"/>
      <c r="F15" s="114">
        <f>B12+F7+F8+F9+F10+F11+F12+F13+F14</f>
        <v>-392456</v>
      </c>
    </row>
    <row r="16" spans="1:19">
      <c r="A16" s="99"/>
      <c r="B16" s="207"/>
      <c r="C16" s="170"/>
      <c r="D16" s="99"/>
      <c r="L16">
        <f>140-M10</f>
        <v>111</v>
      </c>
      <c r="M16">
        <f>75-M2-M4-M5-M7</f>
        <v>56</v>
      </c>
      <c r="N16" t="s">
        <v>483</v>
      </c>
      <c r="O16" t="s">
        <v>4670</v>
      </c>
    </row>
    <row r="17" spans="1:19">
      <c r="A17" s="99"/>
      <c r="M17">
        <f>65-M3-M6</f>
        <v>55</v>
      </c>
      <c r="N17" t="s">
        <v>5</v>
      </c>
    </row>
    <row r="18" spans="1:19">
      <c r="A18" s="99"/>
      <c r="B18" s="207">
        <v>3965000</v>
      </c>
      <c r="C18" s="170"/>
      <c r="D18" s="99" t="s">
        <v>4498</v>
      </c>
    </row>
    <row r="19" spans="1:19">
      <c r="A19" s="99"/>
      <c r="B19" s="207">
        <v>3880000</v>
      </c>
      <c r="C19" s="170"/>
      <c r="D19" s="99" t="s">
        <v>4505</v>
      </c>
    </row>
    <row r="20" spans="1:19">
      <c r="A20" s="99" t="s">
        <v>4511</v>
      </c>
      <c r="B20" s="208"/>
      <c r="C20" s="170">
        <v>3894000</v>
      </c>
      <c r="D20" s="99" t="s">
        <v>4506</v>
      </c>
    </row>
    <row r="21" spans="1:19">
      <c r="A21" s="99"/>
      <c r="B21" s="207"/>
      <c r="C21" s="170">
        <v>3845000</v>
      </c>
      <c r="D21" s="99" t="s">
        <v>4506</v>
      </c>
      <c r="G21" s="169" t="s">
        <v>4537</v>
      </c>
      <c r="H21" s="169" t="s">
        <v>4297</v>
      </c>
      <c r="I21" s="169" t="s">
        <v>937</v>
      </c>
      <c r="J21" s="169" t="s">
        <v>4244</v>
      </c>
      <c r="K21" s="169" t="s">
        <v>4566</v>
      </c>
      <c r="L21" s="169"/>
      <c r="M21" s="41"/>
      <c r="N21" s="41"/>
      <c r="O21" s="169" t="s">
        <v>4549</v>
      </c>
      <c r="P21" s="169" t="s">
        <v>1086</v>
      </c>
      <c r="Q21" s="169" t="s">
        <v>4244</v>
      </c>
      <c r="R21" s="169" t="s">
        <v>4566</v>
      </c>
      <c r="S21" s="169"/>
    </row>
    <row r="22" spans="1:19">
      <c r="A22" s="99"/>
      <c r="B22" s="207"/>
      <c r="C22" s="170">
        <v>3845000</v>
      </c>
      <c r="D22" s="99" t="s">
        <v>4506</v>
      </c>
      <c r="G22" s="169" t="s">
        <v>4546</v>
      </c>
      <c r="H22" s="169">
        <v>281</v>
      </c>
      <c r="I22" s="169">
        <v>15274</v>
      </c>
      <c r="J22" s="169">
        <v>165.5</v>
      </c>
      <c r="K22" s="169">
        <f>H22/J22</f>
        <v>1.6978851963746224</v>
      </c>
      <c r="L22" s="169" t="s">
        <v>4603</v>
      </c>
      <c r="M22" s="41"/>
      <c r="N22" s="41"/>
      <c r="O22" s="169" t="s">
        <v>4536</v>
      </c>
      <c r="P22" s="169">
        <v>3390000</v>
      </c>
      <c r="Q22" s="169">
        <v>161.4</v>
      </c>
      <c r="R22" s="169">
        <f>P22/Q22</f>
        <v>21003.717472118959</v>
      </c>
      <c r="S22" s="169"/>
    </row>
    <row r="23" spans="1:19">
      <c r="A23" s="99"/>
      <c r="B23" s="207"/>
      <c r="C23" s="170">
        <v>3845000</v>
      </c>
      <c r="D23" s="99" t="s">
        <v>4506</v>
      </c>
      <c r="G23" s="169" t="s">
        <v>4545</v>
      </c>
      <c r="H23" s="169">
        <v>289.3</v>
      </c>
      <c r="I23" s="169">
        <v>14073</v>
      </c>
      <c r="J23" s="169">
        <v>166.2</v>
      </c>
      <c r="K23" s="169">
        <f>H23/J23</f>
        <v>1.7406738868832734</v>
      </c>
      <c r="L23" s="169" t="s">
        <v>4603</v>
      </c>
      <c r="M23" s="41"/>
      <c r="N23" s="41"/>
      <c r="O23" s="169"/>
      <c r="P23" s="169"/>
      <c r="Q23" s="169"/>
      <c r="R23" s="169"/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 t="s">
        <v>4547</v>
      </c>
      <c r="H24" s="169">
        <v>281</v>
      </c>
      <c r="I24" s="169">
        <v>5000</v>
      </c>
      <c r="J24" s="169">
        <v>160.19999999999999</v>
      </c>
      <c r="K24" s="169">
        <f>H24/J24</f>
        <v>1.7540574282147317</v>
      </c>
      <c r="L24" s="169" t="s">
        <v>4603</v>
      </c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>
        <v>3915000</v>
      </c>
      <c r="C25" s="170"/>
      <c r="D25" s="99" t="s">
        <v>4512</v>
      </c>
      <c r="G25" s="169" t="s">
        <v>994</v>
      </c>
      <c r="H25" s="169">
        <v>284.7</v>
      </c>
      <c r="I25" s="169">
        <v>8196</v>
      </c>
      <c r="J25" s="169">
        <v>174.7</v>
      </c>
      <c r="K25" s="169">
        <f>H25/J25</f>
        <v>1.629650829994276</v>
      </c>
      <c r="L25" s="169" t="s">
        <v>4604</v>
      </c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  <c r="G26" s="169"/>
      <c r="H26" s="169"/>
      <c r="I26" s="169"/>
      <c r="J26" s="169"/>
      <c r="K26" s="169"/>
      <c r="L26" s="169"/>
      <c r="M26" s="41"/>
      <c r="N26" s="41"/>
      <c r="O26" s="169"/>
      <c r="P26" s="169"/>
      <c r="Q26" s="169"/>
      <c r="R26" s="169"/>
      <c r="S26" s="169"/>
    </row>
    <row r="27" spans="1:19">
      <c r="A27" s="99"/>
      <c r="B27" s="207"/>
      <c r="C27" s="170"/>
      <c r="D27" s="99" t="s">
        <v>4525</v>
      </c>
      <c r="G27" s="169"/>
      <c r="H27" s="169"/>
      <c r="I27" s="169"/>
      <c r="J27" s="169"/>
      <c r="K27" s="169"/>
      <c r="L27" s="169"/>
      <c r="M27" s="41"/>
      <c r="N27" s="41"/>
      <c r="O27" s="169"/>
      <c r="P27" s="169"/>
      <c r="Q27" s="169"/>
      <c r="R27" s="169"/>
      <c r="S27" s="169"/>
    </row>
    <row r="28" spans="1:19">
      <c r="A28" s="99" t="s">
        <v>4548</v>
      </c>
      <c r="B28" s="207"/>
      <c r="C28" s="170">
        <v>3421299</v>
      </c>
      <c r="D28" s="99" t="s">
        <v>4232</v>
      </c>
      <c r="G28" s="169"/>
      <c r="H28" s="169"/>
      <c r="I28" s="169"/>
      <c r="J28" s="169"/>
      <c r="K28" s="169" t="s">
        <v>25</v>
      </c>
      <c r="L28" s="169"/>
      <c r="M28" s="41"/>
      <c r="N28" s="41"/>
      <c r="O28" s="169"/>
      <c r="P28" s="169"/>
      <c r="Q28" s="169"/>
      <c r="R28" s="169"/>
      <c r="S28" s="169"/>
    </row>
    <row r="29" spans="1:19">
      <c r="A29" s="99" t="s">
        <v>4580</v>
      </c>
      <c r="B29" s="207"/>
      <c r="C29" s="170">
        <v>3490000</v>
      </c>
      <c r="D29" s="99" t="s">
        <v>4232</v>
      </c>
      <c r="G29" s="169"/>
      <c r="H29" s="169"/>
      <c r="I29" s="169"/>
      <c r="J29" s="169"/>
      <c r="K29" s="169"/>
      <c r="L29" s="169"/>
      <c r="M29" s="41"/>
      <c r="N29" s="41"/>
      <c r="O29" s="169"/>
      <c r="P29" s="169"/>
      <c r="Q29" s="169"/>
      <c r="R29" s="169"/>
      <c r="S29" s="169"/>
    </row>
    <row r="30" spans="1:19">
      <c r="A30" s="99" t="s">
        <v>4581</v>
      </c>
      <c r="B30" s="207"/>
      <c r="C30" s="170">
        <v>271000</v>
      </c>
      <c r="D30" s="99" t="s">
        <v>4577</v>
      </c>
    </row>
    <row r="31" spans="1:19">
      <c r="A31" s="99" t="s">
        <v>4591</v>
      </c>
      <c r="B31" s="207"/>
      <c r="C31" s="170">
        <v>69700</v>
      </c>
      <c r="D31" s="99" t="s">
        <v>4582</v>
      </c>
    </row>
    <row r="32" spans="1:19">
      <c r="A32" s="99"/>
      <c r="B32" s="207"/>
      <c r="C32" s="170"/>
      <c r="D32" s="99"/>
      <c r="I32" t="s">
        <v>25</v>
      </c>
      <c r="K32">
        <f>K24/K25</f>
        <v>1.0763394194208415</v>
      </c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</row>
    <row r="42" spans="1:13">
      <c r="I42" s="41"/>
      <c r="J42" s="41"/>
      <c r="K42" s="41"/>
      <c r="L42" s="41"/>
      <c r="M42" s="41"/>
    </row>
    <row r="45" spans="1:13">
      <c r="L4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4556</v>
      </c>
      <c r="Z2" s="99" t="s">
        <v>4631</v>
      </c>
      <c r="AA2" s="99" t="s">
        <v>4629</v>
      </c>
      <c r="AB2" s="99" t="s">
        <v>4630</v>
      </c>
      <c r="AC2" s="99" t="s">
        <v>4633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4635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4632</v>
      </c>
      <c r="Z4" s="99">
        <v>1</v>
      </c>
      <c r="AA4" s="99">
        <v>1</v>
      </c>
      <c r="AB4" s="99">
        <f t="shared" si="0"/>
        <v>1</v>
      </c>
      <c r="AC4" s="99" t="s">
        <v>4634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2019-01-20T12:12:41Z</dcterms:modified>
</cp:coreProperties>
</file>