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M100" i="18" l="1"/>
  <c r="N29" i="60" l="1"/>
  <c r="G118" i="18" l="1"/>
  <c r="J118" i="18" s="1"/>
  <c r="G117" i="18"/>
  <c r="J117" i="18" s="1"/>
  <c r="J151" i="52"/>
  <c r="P155" i="18" l="1"/>
  <c r="W253" i="18"/>
  <c r="K106" i="18"/>
  <c r="W252" i="18"/>
  <c r="O150" i="52"/>
  <c r="D77" i="52" l="1"/>
  <c r="AD59" i="52" l="1"/>
  <c r="Q146" i="52"/>
  <c r="J146" i="52"/>
  <c r="W251" i="18"/>
  <c r="P23" i="18"/>
  <c r="N23" i="18" s="1"/>
  <c r="P27" i="18"/>
  <c r="N27" i="18" s="1"/>
  <c r="N44"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151" i="52" l="1"/>
  <c r="P150" i="52"/>
  <c r="P157" i="52"/>
  <c r="P148" i="52"/>
  <c r="P160" i="52"/>
  <c r="P159" i="52"/>
  <c r="P158" i="52"/>
  <c r="P156" i="52"/>
  <c r="P155" i="52"/>
  <c r="P154" i="52"/>
  <c r="P153" i="52"/>
  <c r="P152" i="52"/>
  <c r="P149" i="52"/>
  <c r="P147" i="52"/>
  <c r="O145" i="52"/>
  <c r="J145" i="52"/>
  <c r="J144" i="52"/>
  <c r="J143" i="52"/>
  <c r="W250" i="18" l="1"/>
  <c r="G130" i="18" l="1"/>
  <c r="J130" i="18" s="1"/>
  <c r="J132" i="18" s="1"/>
  <c r="I132" i="18" s="1"/>
  <c r="G124" i="18"/>
  <c r="J124" i="18" s="1"/>
  <c r="W249" i="18"/>
  <c r="J126" i="18" l="1"/>
  <c r="I126" i="18" s="1"/>
  <c r="O142" i="52"/>
  <c r="J142" i="52"/>
  <c r="N42" i="18"/>
  <c r="W248" i="18"/>
  <c r="P22" i="18"/>
  <c r="P26" i="18" l="1"/>
  <c r="N26" i="18" s="1"/>
  <c r="O140" i="52"/>
  <c r="J140" i="52"/>
  <c r="W247" i="18"/>
  <c r="N35" i="18" l="1"/>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O132" i="52" l="1"/>
  <c r="W242" i="18"/>
  <c r="O131" i="52" l="1"/>
  <c r="H3" i="60"/>
  <c r="H4" i="60"/>
  <c r="H5" i="60"/>
  <c r="H2" i="60"/>
  <c r="G9" i="60"/>
  <c r="G7" i="60"/>
  <c r="O130" i="52" l="1"/>
  <c r="O129" i="52"/>
  <c r="W241" i="18"/>
  <c r="S199" i="18"/>
  <c r="W240" i="18"/>
  <c r="AL285" i="18" l="1"/>
  <c r="AM285" i="18" s="1"/>
  <c r="N129" i="52"/>
  <c r="AL284" i="18" l="1"/>
  <c r="O127" i="52"/>
  <c r="AM284" i="18" l="1"/>
  <c r="AL283" i="18"/>
  <c r="J126" i="52"/>
  <c r="O126" i="52"/>
  <c r="W239" i="18"/>
  <c r="AM283" i="18" l="1"/>
  <c r="AL282" i="18"/>
  <c r="O125" i="52"/>
  <c r="J125" i="52"/>
  <c r="AM282" i="18" l="1"/>
  <c r="AL281" i="18"/>
  <c r="U255" i="18"/>
  <c r="W238"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7"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1"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16" i="18"/>
  <c r="J116" i="18" s="1"/>
  <c r="J120" i="18" s="1"/>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21" i="60" s="1"/>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D297" i="15"/>
  <c r="F298" i="15"/>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7"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2" i="18"/>
  <c r="O131" i="18"/>
  <c r="O130" i="18"/>
  <c r="AM254" i="18" l="1"/>
  <c r="AL253" i="18"/>
  <c r="D289" i="15"/>
  <c r="F290" i="15"/>
  <c r="P97" i="52"/>
  <c r="P98" i="52"/>
  <c r="P95" i="52"/>
  <c r="P96" i="52"/>
  <c r="P94" i="52"/>
  <c r="P93" i="52"/>
  <c r="O134" i="18"/>
  <c r="N91" i="52"/>
  <c r="P92" i="52" s="1"/>
  <c r="AL252" i="18" l="1"/>
  <c r="AM253" i="18"/>
  <c r="F289" i="15"/>
  <c r="D288" i="15"/>
  <c r="R235" i="18"/>
  <c r="T271" i="18" s="1"/>
  <c r="W226" i="18"/>
  <c r="W225" i="18"/>
  <c r="W224" i="18"/>
  <c r="M48" i="52"/>
  <c r="M47" i="52"/>
  <c r="N38" i="52"/>
  <c r="N37" i="52"/>
  <c r="M49" i="52"/>
  <c r="N50" i="52" s="1"/>
  <c r="AM252" i="18" l="1"/>
  <c r="AL251" i="18"/>
  <c r="D287" i="15"/>
  <c r="F288" i="15"/>
  <c r="N49" i="52"/>
  <c r="W223" i="18"/>
  <c r="AM251" i="18" l="1"/>
  <c r="AL250" i="18"/>
  <c r="F287" i="15"/>
  <c r="D286" i="15"/>
  <c r="I120" i="18" l="1"/>
  <c r="AL249" i="18"/>
  <c r="AM250" i="18"/>
  <c r="D285" i="15"/>
  <c r="F286" i="15"/>
  <c r="W222"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B371" i="20" l="1"/>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3"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07" i="18"/>
  <c r="L104" i="18" s="1"/>
  <c r="N104" i="18" s="1"/>
  <c r="L103" i="18" l="1"/>
  <c r="M107" i="18"/>
  <c r="AM241" i="18"/>
  <c r="AL240" i="18"/>
  <c r="L99" i="18"/>
  <c r="W197" i="18"/>
  <c r="W196" i="18"/>
  <c r="N24" i="52"/>
  <c r="N26" i="52"/>
  <c r="N25" i="52"/>
  <c r="AL239" i="18" l="1"/>
  <c r="AM240"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2" i="18"/>
  <c r="F102" i="18" s="1"/>
  <c r="G99" i="18"/>
  <c r="F99"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46" i="18"/>
  <c r="AM120" i="18" l="1"/>
  <c r="AL119" i="18"/>
  <c r="AM119" i="18" l="1"/>
  <c r="AL118" i="18"/>
  <c r="T150" i="18"/>
  <c r="S60" i="18"/>
  <c r="S61" i="18" s="1"/>
  <c r="S62" i="18" s="1"/>
  <c r="R171" i="18"/>
  <c r="R169" i="18"/>
  <c r="D57" i="51"/>
  <c r="AL117" i="18" l="1"/>
  <c r="AM118" i="18"/>
  <c r="S63" i="18"/>
  <c r="S64" i="18" s="1"/>
  <c r="AM117" i="18" l="1"/>
  <c r="AL116" i="18"/>
  <c r="S65" i="18"/>
  <c r="S66" i="18" s="1"/>
  <c r="N28" i="18"/>
  <c r="Q81"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3" i="18"/>
  <c r="M102" i="18" s="1"/>
  <c r="S70" i="18" l="1"/>
  <c r="S71" i="18" s="1"/>
  <c r="N102" i="18"/>
  <c r="AM112" i="18"/>
  <c r="AL111" i="18"/>
  <c r="D108" i="50"/>
  <c r="S72" i="18" l="1"/>
  <c r="AL110" i="18"/>
  <c r="AM111" i="18"/>
  <c r="S73" i="18" l="1"/>
  <c r="S74" i="18" s="1"/>
  <c r="S75" i="18" s="1"/>
  <c r="S76" i="18" s="1"/>
  <c r="S77" i="18" s="1"/>
  <c r="S78" i="18" s="1"/>
  <c r="S79"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0" i="18"/>
  <c r="AM221" i="18"/>
  <c r="AL103" i="18" l="1"/>
  <c r="AM104" i="18"/>
  <c r="AL219" i="18"/>
  <c r="AM220" i="18"/>
  <c r="AL102" i="18" l="1"/>
  <c r="AM103" i="18"/>
  <c r="AL218" i="18"/>
  <c r="AM219" i="18"/>
  <c r="S22" i="18"/>
  <c r="S23" i="18" s="1"/>
  <c r="N71" i="18"/>
  <c r="AL101" i="18" l="1"/>
  <c r="AM102" i="18"/>
  <c r="AL217" i="18"/>
  <c r="AM218"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17" i="18"/>
  <c r="AL216" i="18"/>
  <c r="D73" i="48"/>
  <c r="N100" i="18" l="1"/>
  <c r="AL99" i="18"/>
  <c r="AM100" i="18"/>
  <c r="AL215" i="18"/>
  <c r="AM216" i="18"/>
  <c r="S32" i="18" l="1"/>
  <c r="AM99" i="18"/>
  <c r="AL98" i="18"/>
  <c r="AL214" i="18"/>
  <c r="AM215" i="18"/>
  <c r="S33" i="18" l="1"/>
  <c r="S34" i="18" s="1"/>
  <c r="S35" i="18" s="1"/>
  <c r="AL97" i="18"/>
  <c r="AM98" i="18"/>
  <c r="AL213" i="18"/>
  <c r="AM214" i="18"/>
  <c r="S36" i="18" l="1"/>
  <c r="S37" i="18" s="1"/>
  <c r="AM97" i="18"/>
  <c r="AL96" i="18"/>
  <c r="AL212" i="18"/>
  <c r="AM213" i="18"/>
  <c r="N23" i="33"/>
  <c r="D23" i="33" s="1"/>
  <c r="S38" i="18" l="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0" i="18"/>
  <c r="AM211" i="18"/>
  <c r="N21" i="18"/>
  <c r="Q55" i="18" l="1"/>
  <c r="R167" i="18"/>
  <c r="S43" i="18"/>
  <c r="S44" i="18" s="1"/>
  <c r="AJ290" i="18"/>
  <c r="AJ291" i="18" s="1"/>
  <c r="AM94" i="18"/>
  <c r="AL93" i="18"/>
  <c r="AL209" i="18"/>
  <c r="AM210" i="18"/>
  <c r="S45" i="18" l="1"/>
  <c r="AL92" i="18"/>
  <c r="AM93" i="18"/>
  <c r="AL208" i="18"/>
  <c r="AM209" i="18"/>
  <c r="S91" i="18"/>
  <c r="S92" i="18" s="1"/>
  <c r="S46" i="18" l="1"/>
  <c r="S47" i="18" s="1"/>
  <c r="S48" i="18" s="1"/>
  <c r="AL91" i="18"/>
  <c r="AM92" i="18"/>
  <c r="AM208" i="18"/>
  <c r="AL207" i="18"/>
  <c r="S49" i="18" l="1"/>
  <c r="S50" i="18" s="1"/>
  <c r="S51" i="18" s="1"/>
  <c r="S52" i="18" s="1"/>
  <c r="S53" i="18" s="1"/>
  <c r="AL90" i="18"/>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S95" i="18" s="1"/>
  <c r="AL85" i="18" l="1"/>
  <c r="AM86" i="18"/>
  <c r="S96" i="18"/>
  <c r="S97" i="18" s="1"/>
  <c r="AL201" i="18"/>
  <c r="AM202" i="18"/>
  <c r="N25" i="33"/>
  <c r="N24" i="33"/>
  <c r="N21" i="33"/>
  <c r="N20" i="33"/>
  <c r="N19" i="33"/>
  <c r="N18" i="33"/>
  <c r="L18" i="33" s="1"/>
  <c r="N17" i="33"/>
  <c r="N9" i="33"/>
  <c r="N3" i="33"/>
  <c r="N4" i="33"/>
  <c r="AL84" i="18" l="1"/>
  <c r="AM85" i="18"/>
  <c r="AM201" i="18"/>
  <c r="AL200"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S105" i="18" s="1"/>
  <c r="S106" i="18" s="1"/>
  <c r="S107" i="18" s="1"/>
  <c r="G306" i="20"/>
  <c r="J307" i="20"/>
  <c r="I307" i="20"/>
  <c r="K307" i="20"/>
  <c r="AL75" i="18"/>
  <c r="AM76" i="18"/>
  <c r="N45" i="18"/>
  <c r="R166" i="18" s="1"/>
  <c r="Q142" i="18" l="1"/>
  <c r="R179" i="18"/>
  <c r="M99" i="18"/>
  <c r="N99" i="18" s="1"/>
  <c r="N107" i="18" s="1"/>
  <c r="AJ186" i="18"/>
  <c r="AJ187" i="18" s="1"/>
  <c r="S108" i="18"/>
  <c r="G305" i="20"/>
  <c r="I306" i="20"/>
  <c r="K306" i="20"/>
  <c r="J306" i="20"/>
  <c r="AL74" i="18"/>
  <c r="AM75" i="18"/>
  <c r="U271" i="18" l="1"/>
  <c r="T258" i="18"/>
  <c r="V261" i="18" s="1"/>
  <c r="G304" i="20"/>
  <c r="I305" i="20"/>
  <c r="K305" i="20"/>
  <c r="J305" i="20"/>
  <c r="AL73" i="18"/>
  <c r="AM74" i="18"/>
  <c r="R85" i="18"/>
  <c r="V53" i="18" l="1"/>
  <c r="W53" i="18" s="1"/>
  <c r="V79" i="18"/>
  <c r="V78" i="18"/>
  <c r="X78" i="18" s="1"/>
  <c r="V52" i="18"/>
  <c r="V77" i="18"/>
  <c r="W77" i="18" s="1"/>
  <c r="V51" i="18"/>
  <c r="V50" i="18"/>
  <c r="X50" i="18" s="1"/>
  <c r="V76" i="18"/>
  <c r="V49" i="18"/>
  <c r="W49" i="18" s="1"/>
  <c r="V75" i="18"/>
  <c r="V48" i="18"/>
  <c r="W48" i="18" s="1"/>
  <c r="V47" i="18"/>
  <c r="W47" i="18" s="1"/>
  <c r="V74" i="18"/>
  <c r="V73" i="18"/>
  <c r="W73" i="18" s="1"/>
  <c r="V46" i="18"/>
  <c r="V45" i="18"/>
  <c r="X45" i="18" s="1"/>
  <c r="V72" i="18"/>
  <c r="S155" i="18"/>
  <c r="U155" i="18" s="1"/>
  <c r="V155" i="18" s="1"/>
  <c r="V43" i="18"/>
  <c r="W43" i="18" s="1"/>
  <c r="V44" i="18"/>
  <c r="V71" i="18"/>
  <c r="W71" i="18" s="1"/>
  <c r="V42" i="18"/>
  <c r="V89" i="18"/>
  <c r="V41" i="18"/>
  <c r="X41" i="18" s="1"/>
  <c r="V70" i="18"/>
  <c r="V69" i="18"/>
  <c r="V68" i="18"/>
  <c r="W68" i="18" s="1"/>
  <c r="V40" i="18"/>
  <c r="V39" i="18"/>
  <c r="V38" i="18"/>
  <c r="V37" i="18"/>
  <c r="S109" i="18"/>
  <c r="V36" i="18"/>
  <c r="V35" i="18"/>
  <c r="W35" i="18" s="1"/>
  <c r="V67" i="18"/>
  <c r="V34" i="18"/>
  <c r="W34" i="18" s="1"/>
  <c r="V66" i="18"/>
  <c r="V33" i="18"/>
  <c r="V32" i="18"/>
  <c r="V31" i="18"/>
  <c r="V29" i="18"/>
  <c r="W29" i="18" s="1"/>
  <c r="V30" i="18"/>
  <c r="V54" i="18"/>
  <c r="V28" i="18"/>
  <c r="X28" i="18" s="1"/>
  <c r="G303" i="20"/>
  <c r="K304" i="20"/>
  <c r="I304" i="20"/>
  <c r="J304" i="20"/>
  <c r="V271" i="18"/>
  <c r="V27" i="18"/>
  <c r="W27" i="18" s="1"/>
  <c r="V107" i="18"/>
  <c r="V141" i="18"/>
  <c r="V105" i="18"/>
  <c r="W105" i="18" s="1"/>
  <c r="V106" i="18"/>
  <c r="V26" i="18"/>
  <c r="W26" i="18" s="1"/>
  <c r="V65" i="18"/>
  <c r="V103" i="18"/>
  <c r="W103" i="18" s="1"/>
  <c r="V104" i="18"/>
  <c r="V101" i="18"/>
  <c r="W101" i="18" s="1"/>
  <c r="V102" i="18"/>
  <c r="V100" i="18"/>
  <c r="W100" i="18" s="1"/>
  <c r="V25" i="18"/>
  <c r="V24" i="18"/>
  <c r="W24" i="18" s="1"/>
  <c r="V64" i="18"/>
  <c r="V23" i="18"/>
  <c r="X23" i="18" s="1"/>
  <c r="V63" i="18"/>
  <c r="V80" i="18"/>
  <c r="V62" i="18"/>
  <c r="V99" i="18"/>
  <c r="V61" i="18"/>
  <c r="V98" i="18"/>
  <c r="V22" i="18"/>
  <c r="V97" i="18"/>
  <c r="V21" i="18"/>
  <c r="V96" i="18"/>
  <c r="V95" i="18"/>
  <c r="V94" i="18"/>
  <c r="V92" i="18"/>
  <c r="V93" i="18"/>
  <c r="V20" i="18"/>
  <c r="V90" i="18"/>
  <c r="V91" i="18"/>
  <c r="AL72" i="18"/>
  <c r="AM73" i="18"/>
  <c r="X53" i="18" l="1"/>
  <c r="W79" i="18"/>
  <c r="X79" i="18"/>
  <c r="W78" i="18"/>
  <c r="X52" i="18"/>
  <c r="W52" i="18"/>
  <c r="X77" i="18"/>
  <c r="X51" i="18"/>
  <c r="W51" i="18"/>
  <c r="W50" i="18"/>
  <c r="W76" i="18"/>
  <c r="X76" i="18"/>
  <c r="X49" i="18"/>
  <c r="W75" i="18"/>
  <c r="X75" i="18"/>
  <c r="X48" i="18"/>
  <c r="X47" i="18"/>
  <c r="X74" i="18"/>
  <c r="W74" i="18"/>
  <c r="X73" i="18"/>
  <c r="X46" i="18"/>
  <c r="W46" i="18"/>
  <c r="W45" i="18"/>
  <c r="W72" i="18"/>
  <c r="X72" i="18"/>
  <c r="X43" i="18"/>
  <c r="W44" i="18"/>
  <c r="X44" i="18"/>
  <c r="X71" i="18"/>
  <c r="W42" i="18"/>
  <c r="X42" i="18"/>
  <c r="W41" i="18"/>
  <c r="W70" i="18"/>
  <c r="X70" i="18"/>
  <c r="W69" i="18"/>
  <c r="X69" i="18"/>
  <c r="X68" i="18"/>
  <c r="W40" i="18"/>
  <c r="X40" i="18"/>
  <c r="W39" i="18"/>
  <c r="X39" i="18"/>
  <c r="W37" i="18"/>
  <c r="X37" i="18"/>
  <c r="X38" i="18"/>
  <c r="W38" i="18"/>
  <c r="V108" i="18"/>
  <c r="X108" i="18" s="1"/>
  <c r="W36" i="18"/>
  <c r="X36" i="18"/>
  <c r="X35" i="18"/>
  <c r="W67" i="18"/>
  <c r="X67" i="18"/>
  <c r="X34" i="18"/>
  <c r="W66" i="18"/>
  <c r="X66" i="18"/>
  <c r="X33" i="18"/>
  <c r="W33" i="18"/>
  <c r="X32" i="18"/>
  <c r="W32" i="18"/>
  <c r="W31" i="18"/>
  <c r="X31" i="18"/>
  <c r="X29" i="18"/>
  <c r="W54" i="18"/>
  <c r="X54" i="18"/>
  <c r="W30" i="18"/>
  <c r="X30" i="18"/>
  <c r="W28" i="18"/>
  <c r="S154" i="18"/>
  <c r="R163" i="18" s="1"/>
  <c r="G302" i="20"/>
  <c r="K303" i="20"/>
  <c r="I303" i="20"/>
  <c r="J303" i="20"/>
  <c r="X27" i="18"/>
  <c r="W141" i="18"/>
  <c r="X141" i="18"/>
  <c r="X107" i="18"/>
  <c r="W107" i="18"/>
  <c r="X105" i="18"/>
  <c r="W106" i="18"/>
  <c r="X106" i="18"/>
  <c r="X26" i="18"/>
  <c r="W65" i="18"/>
  <c r="X65" i="18"/>
  <c r="X103" i="18"/>
  <c r="W104" i="18"/>
  <c r="X104" i="18"/>
  <c r="X101" i="18"/>
  <c r="W102" i="18"/>
  <c r="X102" i="18"/>
  <c r="X100" i="18"/>
  <c r="W25" i="18"/>
  <c r="X25" i="18"/>
  <c r="X24" i="18"/>
  <c r="W64" i="18"/>
  <c r="X64" i="18"/>
  <c r="W23" i="18"/>
  <c r="W63" i="18"/>
  <c r="X63" i="18"/>
  <c r="W62" i="18"/>
  <c r="X62" i="18"/>
  <c r="W80" i="18"/>
  <c r="X80" i="18"/>
  <c r="S153" i="18"/>
  <c r="S152" i="18"/>
  <c r="W99" i="18"/>
  <c r="X99" i="18"/>
  <c r="X61" i="18"/>
  <c r="W61" i="18"/>
  <c r="W97" i="18"/>
  <c r="X97" i="18"/>
  <c r="W91" i="18"/>
  <c r="X91" i="18"/>
  <c r="W95" i="18"/>
  <c r="X95" i="18"/>
  <c r="W22" i="18"/>
  <c r="X22" i="18"/>
  <c r="W20" i="18"/>
  <c r="X20" i="18"/>
  <c r="W93" i="18"/>
  <c r="X93" i="18"/>
  <c r="X98" i="18"/>
  <c r="W98" i="18"/>
  <c r="W90" i="18"/>
  <c r="X90" i="18"/>
  <c r="W89" i="18"/>
  <c r="X89" i="18"/>
  <c r="W94" i="18"/>
  <c r="X94" i="18"/>
  <c r="W92" i="18"/>
  <c r="X92" i="18"/>
  <c r="W96" i="18"/>
  <c r="X96" i="18"/>
  <c r="W21" i="18"/>
  <c r="X21" i="18"/>
  <c r="AL71" i="18"/>
  <c r="AM72" i="18"/>
  <c r="U152" i="18" l="1"/>
  <c r="R162" i="18"/>
  <c r="W108" i="18"/>
  <c r="U154" i="18"/>
  <c r="V154" i="18" s="1"/>
  <c r="N31" i="18"/>
  <c r="L21" i="18" s="1"/>
  <c r="U153" i="18"/>
  <c r="V153"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S127" i="18" s="1"/>
  <c r="V118" i="18"/>
  <c r="X118" i="18" s="1"/>
  <c r="G254" i="20"/>
  <c r="J255" i="20"/>
  <c r="I255" i="20"/>
  <c r="K255" i="20"/>
  <c r="D249" i="15"/>
  <c r="F250" i="15"/>
  <c r="AM24" i="18"/>
  <c r="AL23" i="18"/>
  <c r="E177" i="13"/>
  <c r="G178" i="13"/>
  <c r="V126" i="18" l="1"/>
  <c r="X126" i="18" s="1"/>
  <c r="X125" i="18"/>
  <c r="W118" i="18"/>
  <c r="K254" i="20"/>
  <c r="I254" i="20"/>
  <c r="G253" i="20"/>
  <c r="J254" i="20"/>
  <c r="F249" i="15"/>
  <c r="D248" i="15"/>
  <c r="AM23" i="18"/>
  <c r="AL22" i="18"/>
  <c r="E176" i="13"/>
  <c r="G177" i="13"/>
  <c r="D165" i="20"/>
  <c r="W126" i="18" l="1"/>
  <c r="G252" i="20"/>
  <c r="J253" i="20"/>
  <c r="K253" i="20"/>
  <c r="I253" i="20"/>
  <c r="D247" i="15"/>
  <c r="F248" i="15"/>
  <c r="AL21" i="18"/>
  <c r="AL20" i="18" s="1"/>
  <c r="AM22" i="18"/>
  <c r="E175" i="13"/>
  <c r="G176" i="13"/>
  <c r="D164" i="20"/>
  <c r="V127" i="18" l="1"/>
  <c r="W127" i="18" s="1"/>
  <c r="S12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7" i="18" l="1"/>
  <c r="V128" i="18"/>
  <c r="W128" i="18" s="1"/>
  <c r="S129" i="18"/>
  <c r="L997" i="4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N1557" i="41"/>
  <c r="L1502" i="41"/>
  <c r="N1502" i="41" s="1"/>
  <c r="L1427" i="41"/>
  <c r="N1427" i="41" s="1"/>
  <c r="L1137" i="41"/>
  <c r="N1137" i="41" s="1"/>
  <c r="N862" i="41"/>
  <c r="L747" i="4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N1417" i="41"/>
  <c r="L1342" i="41"/>
  <c r="N1342" i="41" s="1"/>
  <c r="L1267" i="41"/>
  <c r="N1267" i="41" s="1"/>
  <c r="N1252" i="41"/>
  <c r="N1232" i="41"/>
  <c r="L1142" i="41"/>
  <c r="N1142" i="41" s="1"/>
  <c r="L977" i="41"/>
  <c r="L902" i="41"/>
  <c r="N902" i="41" s="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29" i="18" l="1"/>
  <c r="W129" i="18" s="1"/>
  <c r="S130" i="18"/>
  <c r="S131" i="18" s="1"/>
  <c r="S132" i="18" s="1"/>
  <c r="X128" i="18"/>
  <c r="X119" i="18"/>
  <c r="W119" i="18"/>
  <c r="U2123" i="41"/>
  <c r="V2123" i="41" s="1"/>
  <c r="X2123" i="41" s="1"/>
  <c r="G249" i="20"/>
  <c r="J250" i="20"/>
  <c r="K250" i="20"/>
  <c r="I250" i="20"/>
  <c r="F245" i="15"/>
  <c r="D244" i="15"/>
  <c r="AN180" i="18"/>
  <c r="AJ185" i="18" s="1"/>
  <c r="E172" i="13"/>
  <c r="G173" i="13"/>
  <c r="D62" i="38"/>
  <c r="V130" i="18" l="1"/>
  <c r="X130" i="18" s="1"/>
  <c r="X129" i="18"/>
  <c r="AJ189" i="18"/>
  <c r="J249" i="20"/>
  <c r="I249" i="20"/>
  <c r="K249" i="20"/>
  <c r="G248" i="20"/>
  <c r="F244" i="15"/>
  <c r="D243" i="15"/>
  <c r="AJ188" i="18"/>
  <c r="E171" i="13"/>
  <c r="G172" i="13"/>
  <c r="W130" i="18" l="1"/>
  <c r="G247" i="20"/>
  <c r="J248" i="20"/>
  <c r="K248" i="20"/>
  <c r="I248" i="20"/>
  <c r="F243" i="15"/>
  <c r="D242" i="15"/>
  <c r="E170" i="13"/>
  <c r="G171" i="13"/>
  <c r="K247" i="20" l="1"/>
  <c r="J247" i="20"/>
  <c r="I247" i="20"/>
  <c r="G246" i="20"/>
  <c r="F242" i="15"/>
  <c r="D241" i="15"/>
  <c r="E169" i="13"/>
  <c r="G170" i="13"/>
  <c r="D163" i="20"/>
  <c r="V131" i="18" l="1"/>
  <c r="X131" i="18" s="1"/>
  <c r="G245" i="20"/>
  <c r="J246" i="20"/>
  <c r="K246" i="20"/>
  <c r="I246" i="20"/>
  <c r="F241" i="15"/>
  <c r="D240" i="15"/>
  <c r="E168" i="13"/>
  <c r="G169" i="13"/>
  <c r="W131" i="18" l="1"/>
  <c r="I245" i="20"/>
  <c r="J245" i="20"/>
  <c r="G244" i="20"/>
  <c r="K245" i="20"/>
  <c r="D239" i="15"/>
  <c r="F240" i="15"/>
  <c r="E167" i="13"/>
  <c r="G168" i="13"/>
  <c r="D162" i="20"/>
  <c r="V132" i="18" l="1"/>
  <c r="W132" i="18" s="1"/>
  <c r="S133"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V133" i="18"/>
  <c r="W133" i="18" s="1"/>
  <c r="S134"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33" i="18" l="1"/>
  <c r="V134" i="18"/>
  <c r="W134" i="18" s="1"/>
  <c r="S135" i="18"/>
  <c r="S136" i="18" s="1"/>
  <c r="J242" i="20"/>
  <c r="K242" i="20"/>
  <c r="G241" i="20"/>
  <c r="I242" i="20"/>
  <c r="F237" i="15"/>
  <c r="D236" i="15"/>
  <c r="E164" i="13"/>
  <c r="G165" i="13"/>
  <c r="D159" i="20"/>
  <c r="X134" i="18" l="1"/>
  <c r="V135" i="18"/>
  <c r="K241" i="20"/>
  <c r="I241" i="20"/>
  <c r="G240" i="20"/>
  <c r="J241" i="20"/>
  <c r="D235" i="15"/>
  <c r="F236" i="15"/>
  <c r="E163" i="13"/>
  <c r="G164" i="13"/>
  <c r="D158" i="20"/>
  <c r="D157" i="20"/>
  <c r="W135" i="18" l="1"/>
  <c r="X135" i="18"/>
  <c r="G239" i="20"/>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7" i="18" l="1"/>
  <c r="V136" i="18"/>
  <c r="G235" i="20"/>
  <c r="J236" i="20"/>
  <c r="I236" i="20"/>
  <c r="K236" i="20"/>
  <c r="F231" i="15"/>
  <c r="D230" i="15"/>
  <c r="E158" i="13"/>
  <c r="G159" i="13"/>
  <c r="D154" i="20"/>
  <c r="D153" i="20"/>
  <c r="V137" i="18" l="1"/>
  <c r="X137" i="18" s="1"/>
  <c r="S138" i="18"/>
  <c r="W136" i="18"/>
  <c r="X136"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7" i="18" l="1"/>
  <c r="V138" i="18"/>
  <c r="X138" i="18" s="1"/>
  <c r="S139" i="18"/>
  <c r="I234" i="20"/>
  <c r="K234" i="20"/>
  <c r="J234" i="20"/>
  <c r="G233" i="20"/>
  <c r="F229" i="15"/>
  <c r="D228" i="15"/>
  <c r="E156" i="13"/>
  <c r="G157" i="13"/>
  <c r="V139" i="18" l="1"/>
  <c r="X139" i="18" s="1"/>
  <c r="S140" i="18"/>
  <c r="V140" i="18" s="1"/>
  <c r="W13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W139" i="18" l="1"/>
  <c r="W140" i="18"/>
  <c r="X140" i="18"/>
  <c r="G231" i="20"/>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l="1"/>
  <c r="F24" i="18" s="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<sst xmlns="http://schemas.openxmlformats.org/spreadsheetml/2006/main" count="12099" uniqueCount="5163">
  <si>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</si>
  <si>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</si>
  <si>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</si>
  <si>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</si>
  <si>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</si>
  <si>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</si>
  <si>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</si>
  <si>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</si>
  <si>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</si>
  <si>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</si>
  <si>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</si>
  <si>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</si>
  <si>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</si>
  <si>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</si>
  <si>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</si>
  <si>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</si>
  <si>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</si>
  <si>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</si>
  <si>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</si>
  <si>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</si>
  <si>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</si>
  <si>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</si>
  <si>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</si>
  <si>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</si>
  <si>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</si>
  <si>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</si>
  <si>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</si>
  <si>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</si>
  <si>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</si>
  <si>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</si>
  <si>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</si>
  <si>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</si>
  <si>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</si>
  <si>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</si>
  <si>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</si>
  <si>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</si>
  <si>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</si>
  <si>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</si>
  <si>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</si>
  <si>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</si>
  <si>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</si>
  <si>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</si>
  <si>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</si>
  <si>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</si>
  <si>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</si>
  <si>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</si>
  <si>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</si>
  <si>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</si>
  <si>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</si>
  <si>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</si>
  <si>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</si>
  <si>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</si>
  <si>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</si>
  <si>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</si>
  <si>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</si>
  <si>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</si>
  <si>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</si>
  <si>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</si>
  <si>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</si>
  <si>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</si>
  <si>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</si>
  <si>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</si>
  <si>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</si>
  <si>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</si>
  <si>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</si>
  <si>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</si>
  <si>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</si>
  <si>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</si>
  <si>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</si>
  <si>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</si>
  <si>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</si>
  <si>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</si>
  <si>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</si>
  <si>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</si>
  <si>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</si>
  <si>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</si>
  <si>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</si>
  <si>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</si>
  <si>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</si>
  <si>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</si>
  <si>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</si>
  <si>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</si>
  <si>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</si>
  <si>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</si>
  <si>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</si>
  <si>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</si>
  <si>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</si>
  <si>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</si>
  <si>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</si>
  <si>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</si>
  <si>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</si>
  <si>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</si>
  <si>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</si>
  <si>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</si>
  <si>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</si>
  <si>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</si>
  <si>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</si>
  <si>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</si>
  <si>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</si>
  <si>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</si>
  <si>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</si>
  <si>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</si>
  <si>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</si>
  <si>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</si>
  <si>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</si>
  <si>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</si>
  <si>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</si>
  <si>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</si>
  <si>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</si>
  <si>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</si>
  <si>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</si>
  <si>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</si>
  <si>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</si>
  <si>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</si>
  <si>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</si>
  <si>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</si>
  <si>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</si>
  <si>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</si>
  <si>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</si>
  <si>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</si>
  <si>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</si>
  <si>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</si>
  <si>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</si>
  <si>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</si>
  <si>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</si>
  <si>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</si>
  <si>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</si>
  <si>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</si>
  <si>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</si>
  <si>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</si>
  <si>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</si>
  <si>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</si>
  <si>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</si>
  <si>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</si>
  <si>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</si>
  <si>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</si>
  <si>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</si>
  <si>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</si>
  <si>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</si>
  <si>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</si>
  <si>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</si>
  <si>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</si>
  <si>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</si>
  <si>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</si>
  <si>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</si>
  <si>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</si>
  <si>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</si>
  <si>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</si>
  <si>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</si>
  <si>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</si>
  <si>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</si>
  <si>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</si>
  <si>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</si>
  <si>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</si>
  <si>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</si>
  <si>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</si>
  <si>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</si>
  <si>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</si>
  <si>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</si>
  <si>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</si>
  <si>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</si>
  <si>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</si>
  <si>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</si>
  <si>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</si>
  <si>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</si>
  <si>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</si>
  <si>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</si>
  <si>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</si>
  <si>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</si>
  <si>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</si>
  <si>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</si>
  <si>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</si>
  <si>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</si>
  <si>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</si>
  <si>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</si>
  <si>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</si>
  <si>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</si>
  <si>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</si>
  <si>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</si>
  <si>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</si>
  <si>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</si>
  <si>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</si>
  <si>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</si>
  <si>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</si>
  <si>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</si>
  <si>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</si>
  <si>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</si>
  <si>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</si>
  <si>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</si>
  <si>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</si>
  <si>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</si>
  <si>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</si>
  <si>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</si>
  <si>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</si>
  <si>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</si>
  <si>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</si>
  <si>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</si>
  <si>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</si>
  <si>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</si>
  <si>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</si>
  <si>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</si>
  <si>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</si>
  <si>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</si>
  <si>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</si>
  <si>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</si>
  <si>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</si>
  <si>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</si>
  <si>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</si>
  <si>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</si>
  <si>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</si>
  <si>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</si>
  <si>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</si>
  <si>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</si>
  <si>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</si>
  <si>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</si>
  <si>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</si>
  <si>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</si>
  <si>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</si>
  <si>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</si>
  <si>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</si>
  <si>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</si>
  <si>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</si>
  <si>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</si>
  <si>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</si>
  <si>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</si>
  <si>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</si>
  <si>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</si>
  <si>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</si>
  <si>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</si>
  <si>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</si>
  <si>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</si>
  <si>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</si>
  <si>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</si>
  <si>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</si>
  <si>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</si>
  <si>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</si>
  <si>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</si>
  <si>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</si>
  <si>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</si>
  <si>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</si>
  <si>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</si>
  <si>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</si>
  <si>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</si>
  <si>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</si>
  <si>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</si>
  <si>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</si>
  <si>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</si>
  <si>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</si>
  <si>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</si>
  <si>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</si>
  <si>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</si>
  <si>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</si>
  <si>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</si>
  <si>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</si>
  <si>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</si>
  <si>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</si>
  <si>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</si>
  <si>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</si>
  <si>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</si>
  <si>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</si>
  <si>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</si>
  <si>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</si>
  <si>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</si>
  <si>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</si>
  <si>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</si>
  <si>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</si>
  <si>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</si>
  <si>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</si>
  <si>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</si>
  <si>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</si>
  <si>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</si>
  <si>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</si>
  <si>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</si>
  <si>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</si>
  <si>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</si>
  <si>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</si>
  <si>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</si>
  <si>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</si>
  <si>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</si>
  <si>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</si>
  <si>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</si>
  <si>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</si>
  <si>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</si>
  <si>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</si>
  <si>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</si>
  <si>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</si>
  <si>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</si>
  <si>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</si>
  <si>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</si>
  <si>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</si>
  <si>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</si>
  <si>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</si>
  <si>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</si>
  <si>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</si>
  <si>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</si>
  <si>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</si>
  <si>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</si>
  <si>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</si>
  <si>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</si>
  <si>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</si>
  <si>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</si>
  <si>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</si>
  <si>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</si>
  <si>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</si>
  <si>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</si>
  <si>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</si>
  <si>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</si>
  <si>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</si>
  <si>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</si>
  <si>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</si>
  <si>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</si>
  <si>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</si>
  <si>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</si>
  <si>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</si>
  <si>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</si>
  <si>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</si>
  <si>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</si>
  <si>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</si>
  <si>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</si>
  <si>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</si>
  <si>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</si>
  <si>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</si>
  <si>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</si>
  <si>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</si>
  <si>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</si>
  <si>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</si>
  <si>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</si>
  <si>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</si>
  <si>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</si>
  <si>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</si>
  <si>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</si>
  <si>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</si>
  <si>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</si>
  <si>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</si>
  <si>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</si>
  <si>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</si>
  <si>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</si>
  <si>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</si>
  <si>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</si>
  <si>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</si>
  <si>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</si>
  <si>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</si>
  <si>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</si>
  <si>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</si>
  <si>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</si>
  <si>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</si>
  <si>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</si>
  <si>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</si>
  <si>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</si>
  <si>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</si>
  <si>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</si>
  <si>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</si>
  <si>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</si>
  <si>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</si>
  <si>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</si>
  <si>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</si>
  <si>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</si>
  <si>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</si>
  <si>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</si>
  <si>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</si>
  <si>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</si>
  <si>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</si>
  <si>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</si>
  <si>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</si>
  <si>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</si>
  <si>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</si>
  <si>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</si>
  <si>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</si>
  <si>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</si>
  <si>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</si>
  <si>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</si>
  <si>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</si>
  <si>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</si>
  <si>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</si>
  <si>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</si>
  <si>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</si>
  <si>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</si>
  <si>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</si>
  <si>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</si>
  <si>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</si>
  <si>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</si>
  <si>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</si>
  <si>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</si>
  <si>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</si>
  <si>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</si>
  <si>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</si>
  <si>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</si>
  <si>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</si>
  <si>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</si>
  <si>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</si>
  <si>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</si>
  <si>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</si>
  <si>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</si>
  <si>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</si>
  <si>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</si>
  <si>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</si>
  <si>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</si>
  <si>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</si>
  <si>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</si>
  <si>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</si>
  <si>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</si>
  <si>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</si>
  <si>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</si>
  <si>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</si>
  <si>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</si>
  <si>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</si>
  <si>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</si>
  <si>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</si>
  <si>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</si>
  <si>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</si>
  <si>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</si>
  <si>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</si>
  <si>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</si>
  <si>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</si>
  <si>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</si>
  <si>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</si>
  <si>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</si>
  <si>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</si>
  <si>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</si>
  <si>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</si>
  <si>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</si>
  <si>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</si>
  <si>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</si>
  <si>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</si>
  <si>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</si>
  <si>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</si>
  <si>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</si>
  <si>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</si>
  <si>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</si>
  <si>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</si>
  <si>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</si>
  <si>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</si>
  <si>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</si>
  <si>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</si>
  <si>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</si>
  <si>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</si>
  <si>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</si>
  <si>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</si>
  <si>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</si>
  <si>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</si>
  <si>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</si>
  <si>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</si>
  <si>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</si>
  <si>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</si>
  <si>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</si>
  <si>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</si>
  <si>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</si>
  <si>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</si>
  <si>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</si>
  <si>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</si>
  <si>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</si>
  <si>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</si>
  <si>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</si>
  <si>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</si>
  <si>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</si>
  <si>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</si>
  <si>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</si>
  <si>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</si>
  <si>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</si>
  <si>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</si>
  <si>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</si>
  <si>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</si>
  <si>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</si>
  <si>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</si>
  <si>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</si>
  <si>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</si>
  <si>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</si>
  <si>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</si>
  <si>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</si>
  <si>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</si>
  <si>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</si>
  <si>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</si>
  <si>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</si>
  <si>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</si>
  <si>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</si>
  <si>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</si>
  <si>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</si>
  <si>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</si>
  <si>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</si>
  <si>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</si>
  <si>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</si>
  <si>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</si>
  <si>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</si>
  <si>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</si>
  <si>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</si>
  <si>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</si>
  <si>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</si>
  <si>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</si>
  <si>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</si>
  <si>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</si>
  <si>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</si>
  <si>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</si>
  <si>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</si>
  <si>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</si>
  <si>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</si>
  <si>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</si>
  <si>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</si>
  <si>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</si>
  <si>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</si>
  <si>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</si>
  <si>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</si>
  <si>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</si>
  <si>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</si>
  <si>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</si>
  <si>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</si>
  <si>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</si>
  <si>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</si>
  <si>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</si>
  <si>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</si>
  <si>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</si>
  <si>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</si>
  <si>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</si>
  <si>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</si>
  <si>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</si>
  <si>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</si>
  <si>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</si>
  <si>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</si>
  <si>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</si>
  <si>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</si>
  <si>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</si>
  <si>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</si>
  <si>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</si>
  <si>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</si>
  <si>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</si>
  <si>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</si>
  <si>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</si>
  <si>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</si>
  <si>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</si>
  <si>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</si>
  <si>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</si>
  <si>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</si>
  <si>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</si>
  <si>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</si>
  <si>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</si>
  <si>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</si>
  <si>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</si>
  <si>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</si>
  <si>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</si>
  <si>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</si>
  <si>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</si>
  <si>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</si>
  <si>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</si>
  <si>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</si>
  <si>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</si>
  <si>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</si>
  <si>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</si>
  <si>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</si>
  <si>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</si>
  <si>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</si>
  <si>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</si>
  <si>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</si>
  <si>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</si>
  <si>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</si>
  <si>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</si>
  <si>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</si>
  <si>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</si>
  <si>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</si>
  <si>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</si>
  <si>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</si>
  <si>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</si>
  <si>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</si>
  <si>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</si>
  <si>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</si>
  <si>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</si>
  <si>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</si>
  <si>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</si>
  <si>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</si>
  <si>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</si>
  <si>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</si>
  <si>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</si>
  <si>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</si>
  <si>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</si>
  <si>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</si>
  <si>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</si>
  <si>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</si>
  <si>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</si>
  <si>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</si>
  <si>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</si>
  <si>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</si>
  <si>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</si>
  <si>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</si>
  <si>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</si>
  <si>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</si>
  <si>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</si>
  <si>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</si>
  <si>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</si>
  <si>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</si>
  <si>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</si>
  <si>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</si>
  <si>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</si>
  <si>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</si>
  <si>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</si>
  <si>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</si>
  <si>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</si>
  <si>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</si>
  <si>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</si>
  <si>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</si>
  <si>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</si>
  <si>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</si>
  <si>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</si>
  <si>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</si>
  <si>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</si>
  <si>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</si>
  <si>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</si>
  <si>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</si>
  <si>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</si>
  <si>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</si>
  <si>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</si>
  <si>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</si>
  <si>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</si>
  <si>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</si>
  <si>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</si>
  <si>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</si>
  <si>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</si>
  <si>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</si>
  <si>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</si>
  <si>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</si>
  <si>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</si>
  <si>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</si>
  <si>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</si>
  <si>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</si>
  <si>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</si>
  <si>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</si>
  <si>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</si>
  <si>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</si>
  <si>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</si>
  <si>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</si>
  <si>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</si>
  <si>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</si>
  <si>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</si>
  <si>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</si>
  <si>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</si>
  <si>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</si>
  <si>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</si>
  <si>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</si>
  <si>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</si>
  <si>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</si>
  <si>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</si>
  <si>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</si>
  <si>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</si>
  <si>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</si>
  <si>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</si>
  <si>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</si>
  <si>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</si>
  <si>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</si>
  <si>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</si>
  <si>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</si>
  <si>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</si>
  <si>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</si>
  <si>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</si>
  <si>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</si>
  <si>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</si>
  <si>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</si>
  <si>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</si>
  <si>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</si>
  <si>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</si>
  <si>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</si>
  <si>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</si>
  <si>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</si>
  <si>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</si>
  <si>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</si>
  <si>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</si>
  <si>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</si>
  <si>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</si>
  <si>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</si>
  <si>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</si>
  <si>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</si>
  <si>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</si>
  <si>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</si>
  <si>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</si>
  <si>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</si>
  <si>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</si>
  <si>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</si>
  <si>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</si>
  <si>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</si>
  <si>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</si>
  <si>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</si>
  <si>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</si>
  <si>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</si>
  <si>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</si>
  <si>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</si>
  <si>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</si>
  <si>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</si>
  <si>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</si>
  <si>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</si>
  <si>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</si>
  <si>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</si>
  <si>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</si>
  <si>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</si>
  <si>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</si>
  <si>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</si>
  <si>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</si>
  <si>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</si>
  <si>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</si>
  <si>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</si>
  <si>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</si>
  <si>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</si>
  <si>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</si>
  <si>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</si>
  <si>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</si>
  <si>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</si>
  <si>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</si>
  <si>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</si>
  <si>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</si>
  <si>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</si>
  <si>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</si>
  <si>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</si>
  <si>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</si>
  <si>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</si>
  <si>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</si>
  <si>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</si>
  <si>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</si>
  <si>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</si>
  <si>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</si>
  <si>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</si>
  <si>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</si>
  <si>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</si>
  <si>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</si>
  <si>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</si>
  <si>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</si>
  <si>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</si>
  <si>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</si>
  <si>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</si>
  <si>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</si>
  <si>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</si>
  <si>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</si>
  <si>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</si>
  <si>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</si>
  <si>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</si>
  <si>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</si>
  <si>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</si>
  <si>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</si>
  <si>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</si>
  <si>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</si>
  <si>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</si>
  <si>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</si>
  <si>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</si>
  <si>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</si>
  <si>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</si>
  <si>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</si>
  <si>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</si>
  <si>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</si>
  <si>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</si>
  <si>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</si>
  <si>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</si>
  <si>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</si>
  <si>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</si>
  <si>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</si>
  <si>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</si>
  <si>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</si>
  <si>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</si>
  <si>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</si>
  <si>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</si>
  <si>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</si>
  <si>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</si>
  <si>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</si>
  <si>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</si>
  <si>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</si>
  <si>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</si>
  <si>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</si>
  <si>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</si>
  <si>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</si>
  <si>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</si>
  <si>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</si>
  <si>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</si>
  <si>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</si>
  <si>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</si>
  <si>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</si>
  <si>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</si>
  <si>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</si>
  <si>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</si>
  <si>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</si>
  <si>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</si>
  <si>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</si>
  <si>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</si>
  <si>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</si>
  <si>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</si>
  <si>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</si>
  <si>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</si>
  <si>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</si>
  <si>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</si>
  <si>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</si>
  <si>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</si>
  <si>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</si>
  <si>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</si>
  <si>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</si>
  <si>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</si>
  <si>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</si>
  <si>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</si>
  <si>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</si>
  <si>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</si>
  <si>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</si>
  <si>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</si>
  <si>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</si>
  <si>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</si>
  <si>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</si>
  <si>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</si>
  <si>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</si>
  <si>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</si>
  <si>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</si>
  <si>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</si>
  <si>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</si>
  <si>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</si>
  <si>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</si>
  <si>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</si>
  <si>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</si>
  <si>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</si>
  <si>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</si>
  <si>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</si>
  <si>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</si>
  <si>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</si>
  <si>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</si>
  <si>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</si>
  <si>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</si>
  <si>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</si>
  <si>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</si>
  <si>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</si>
  <si>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</si>
  <si>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</si>
  <si>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</si>
  <si>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</si>
  <si>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</si>
  <si>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</si>
  <si>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</si>
  <si>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</si>
  <si>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</si>
  <si>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</si>
  <si>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</si>
  <si>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</si>
  <si>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</si>
  <si>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</si>
  <si>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</si>
  <si>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</si>
  <si>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</si>
  <si>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</si>
  <si>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</si>
  <si>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</si>
  <si>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</si>
  <si>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</si>
  <si>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</si>
  <si>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</si>
  <si>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</si>
  <si>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</si>
  <si>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</si>
  <si>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</si>
  <si>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</si>
  <si>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</si>
  <si>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</si>
  <si>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</si>
  <si>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</si>
  <si>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</si>
  <si>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</si>
  <si>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</si>
  <si>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</si>
  <si>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</si>
  <si>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</si>
  <si>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</si>
  <si>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</si>
  <si>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</si>
  <si>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</si>
  <si>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</si>
  <si>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</si>
  <si>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</si>
  <si>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</si>
  <si>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</si>
  <si>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</si>
  <si>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</si>
  <si>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</si>
  <si>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</si>
  <si>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</si>
  <si>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</si>
  <si>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</si>
  <si>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</si>
  <si>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</si>
  <si>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</si>
  <si>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</si>
  <si>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</si>
  <si>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</si>
  <si>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</si>
  <si>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</si>
  <si>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</si>
  <si>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</si>
  <si>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</si>
  <si>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</si>
  <si>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</si>
  <si>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</si>
  <si>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</si>
  <si>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</si>
  <si>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</si>
  <si>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</si>
  <si>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</si>
  <si>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</si>
  <si>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</si>
  <si>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</si>
  <si>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</si>
  <si>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</si>
  <si>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</si>
  <si>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</si>
  <si>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</si>
  <si>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</si>
  <si>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</si>
  <si>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</si>
  <si>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</si>
  <si>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</si>
  <si>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</si>
  <si>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</si>
  <si>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</si>
  <si>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</si>
  <si>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</si>
  <si>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</si>
  <si>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</si>
  <si>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</si>
  <si>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</si>
  <si>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</si>
  <si>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</si>
  <si>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</si>
  <si>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</si>
  <si>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</si>
  <si>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</si>
  <si>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</si>
  <si>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</si>
  <si>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</si>
  <si>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</si>
  <si>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</si>
  <si>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</si>
  <si>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</si>
  <si>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</si>
  <si>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</si>
  <si>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</si>
  <si>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</si>
  <si>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</si>
  <si>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</si>
  <si>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</si>
  <si>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</si>
  <si>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</si>
  <si>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</si>
  <si>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</si>
  <si>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</si>
  <si>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</si>
  <si>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</si>
  <si>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</si>
  <si>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</si>
  <si>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</si>
  <si>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</si>
  <si>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</si>
  <si>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</si>
  <si>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</si>
  <si>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</si>
  <si>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</si>
  <si>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</si>
  <si>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</si>
  <si>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</si>
  <si>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</si>
  <si>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</si>
  <si>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</si>
  <si>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</si>
  <si>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</si>
  <si>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</si>
  <si>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</si>
  <si>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</si>
  <si>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</si>
  <si>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</si>
  <si>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</si>
  <si>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</si>
  <si>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</si>
  <si>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</si>
  <si>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</si>
  <si>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</si>
  <si>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</si>
  <si>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</si>
  <si>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</si>
  <si>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</si>
  <si>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</si>
  <si>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</si>
  <si>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</si>
  <si>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</si>
  <si>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</si>
  <si>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</si>
  <si>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</si>
  <si>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</si>
  <si>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</si>
  <si>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</si>
  <si>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</si>
  <si>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</si>
  <si>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</si>
  <si>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</si>
  <si>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</si>
  <si>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</si>
  <si>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</si>
  <si>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</si>
  <si>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</si>
  <si>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</si>
  <si>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</si>
  <si>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</si>
  <si>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</si>
  <si>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</si>
  <si>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</si>
  <si>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</si>
  <si>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</si>
  <si>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</si>
  <si>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</si>
  <si>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</si>
  <si>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</si>
  <si>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</si>
  <si>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</si>
  <si>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</si>
  <si>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</si>
  <si>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</si>
  <si>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</si>
  <si>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</si>
  <si>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</si>
  <si>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</si>
  <si>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</si>
  <si>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</si>
  <si>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</si>
  <si>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</si>
  <si>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</si>
  <si>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</si>
  <si>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</si>
  <si>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</si>
  <si>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</si>
  <si>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</si>
  <si>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</si>
  <si>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</si>
  <si>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</si>
  <si>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</si>
  <si>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</si>
  <si>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</si>
  <si>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</si>
  <si>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</si>
  <si>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</si>
  <si>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</si>
  <si>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</si>
  <si>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</si>
  <si>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</si>
  <si>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</si>
  <si>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</si>
  <si>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</si>
  <si>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</si>
  <si>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</si>
  <si>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</si>
  <si>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</si>
  <si>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</si>
  <si>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</si>
  <si>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</si>
  <si>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</si>
  <si>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</si>
  <si>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</si>
  <si>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</si>
  <si>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</si>
  <si>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</si>
  <si>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</si>
  <si>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</si>
  <si>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</si>
  <si>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</si>
  <si>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</si>
  <si>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</si>
  <si>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</si>
  <si>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</si>
  <si>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</si>
  <si>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</si>
  <si>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</si>
  <si>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</si>
  <si>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</si>
  <si>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</si>
  <si>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</si>
  <si>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</si>
  <si>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</si>
  <si>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</si>
  <si>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</si>
  <si>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</si>
  <si>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</si>
  <si>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</si>
  <si>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</si>
  <si>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</si>
  <si>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</si>
  <si>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</si>
  <si>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</si>
  <si>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</si>
  <si>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</si>
  <si>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</si>
  <si>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</si>
  <si>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</si>
  <si>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</si>
  <si>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</si>
  <si>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</si>
  <si>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</si>
  <si>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</si>
  <si>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</si>
  <si>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</si>
  <si>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</si>
  <si>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</si>
  <si>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</si>
  <si>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</si>
  <si>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</si>
  <si>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</si>
  <si>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</si>
  <si>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</si>
  <si>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</si>
  <si>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</si>
  <si>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</si>
  <si>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</si>
  <si>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</si>
  <si>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</si>
  <si>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</si>
  <si>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</si>
  <si>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</si>
  <si>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</si>
  <si>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</si>
  <si>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</si>
  <si>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</si>
  <si>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</si>
  <si>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</si>
  <si>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</si>
  <si>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</si>
  <si>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</si>
  <si>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</si>
  <si>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</si>
  <si>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</si>
  <si>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</si>
  <si>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</si>
  <si>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</si>
  <si>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</si>
  <si>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</si>
  <si>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</si>
  <si>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</si>
  <si>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</si>
  <si>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</si>
  <si>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</si>
  <si>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</si>
  <si>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</si>
  <si>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</si>
  <si>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</si>
  <si>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</si>
  <si>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</si>
  <si>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</si>
  <si>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</si>
  <si>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</si>
  <si>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</si>
  <si>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</si>
  <si>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</si>
  <si>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</si>
  <si>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</si>
  <si>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</si>
  <si>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</si>
  <si>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</si>
  <si>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</si>
  <si>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</si>
  <si>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</si>
  <si>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</si>
  <si>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</si>
  <si>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</si>
  <si>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</si>
  <si>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</si>
  <si>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</si>
  <si>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</si>
  <si>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</si>
  <si>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</si>
  <si>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</si>
  <si>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</si>
  <si>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</si>
  <si>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</si>
  <si>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</si>
  <si>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</si>
  <si>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</si>
  <si>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</si>
  <si>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</si>
  <si>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</si>
  <si>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</si>
  <si>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</si>
  <si>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</si>
  <si>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</si>
  <si>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</si>
  <si>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</si>
  <si>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</si>
  <si>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</si>
  <si>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</si>
  <si>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</si>
  <si>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</si>
  <si>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</si>
  <si>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</si>
  <si>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</si>
  <si>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</si>
  <si>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</si>
  <si>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</si>
  <si>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</si>
  <si>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</si>
  <si>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</si>
  <si>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</si>
  <si>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</si>
  <si>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</si>
  <si>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</si>
  <si>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</si>
  <si>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</si>
  <si>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</si>
  <si>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</si>
  <si>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</si>
  <si>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</si>
  <si>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</si>
  <si>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</si>
  <si>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</si>
  <si>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</si>
  <si>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</si>
  <si>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</si>
  <si>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</si>
  <si>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</si>
  <si>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</si>
  <si>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</si>
  <si>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</si>
  <si>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</si>
  <si>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</si>
  <si>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</si>
  <si>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</si>
  <si>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</si>
  <si>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</si>
  <si>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</si>
  <si>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</si>
  <si>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</si>
  <si>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</si>
  <si>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</si>
  <si>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</si>
  <si>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</si>
  <si>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</si>
  <si>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</si>
  <si>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</si>
  <si>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</si>
  <si>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</si>
  <si>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</si>
  <si>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</si>
  <si>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</si>
  <si>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</si>
  <si>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</si>
  <si>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</si>
  <si>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</si>
  <si>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</si>
  <si>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</si>
  <si>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</si>
  <si>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</si>
  <si>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</si>
  <si>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</si>
  <si>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</si>
  <si>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</si>
  <si>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</si>
  <si>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</si>
  <si>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</si>
  <si>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</si>
  <si>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</si>
  <si>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</si>
  <si>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</si>
  <si>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</si>
  <si>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</si>
  <si>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</si>
  <si>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</si>
  <si>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</si>
  <si>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</si>
  <si>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</si>
  <si>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</si>
  <si>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</si>
  <si>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</si>
  <si>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</si>
  <si>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</si>
  <si>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</si>
  <si>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</si>
  <si>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</si>
  <si>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</si>
  <si>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</si>
  <si>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</si>
  <si>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</si>
  <si>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</si>
  <si>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</si>
  <si>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</si>
  <si>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</si>
  <si>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</si>
  <si>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</si>
  <si>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</si>
  <si>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</si>
  <si>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</si>
  <si>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</si>
  <si>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</si>
  <si>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</si>
  <si>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</si>
  <si>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</si>
  <si>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</si>
  <si>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</si>
  <si>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</si>
  <si>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</si>
  <si>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</si>
  <si>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</si>
  <si>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</si>
  <si>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</si>
  <si>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</si>
  <si>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</si>
  <si>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</si>
  <si>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</si>
  <si>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</si>
  <si>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</si>
  <si>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</si>
  <si>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</si>
  <si>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</si>
  <si>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</si>
  <si>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</si>
  <si>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</si>
  <si>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</si>
  <si>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</si>
  <si>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</si>
  <si>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</si>
  <si>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</si>
  <si>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</si>
  <si>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</si>
  <si>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</si>
  <si>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</si>
  <si>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</si>
  <si>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</si>
  <si>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</si>
  <si>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</si>
  <si>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</si>
  <si>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</si>
  <si>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</si>
  <si>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</si>
  <si>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</si>
  <si>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</si>
  <si>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</si>
  <si>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</si>
  <si>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</si>
  <si>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</si>
  <si>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</si>
  <si>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</si>
  <si>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</si>
  <si>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</si>
  <si>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</si>
  <si>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</si>
  <si>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</si>
  <si>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</si>
  <si>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</si>
  <si>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</si>
  <si>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</si>
  <si>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</si>
  <si>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</si>
  <si>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</si>
  <si>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</si>
  <si>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</si>
  <si>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</si>
  <si>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</si>
  <si>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</si>
  <si>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</si>
  <si>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</si>
  <si>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</si>
  <si>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</si>
  <si>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</si>
  <si>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</si>
  <si>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</si>
  <si>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</si>
  <si>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</si>
  <si>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</si>
  <si>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</si>
  <si>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</si>
  <si>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</si>
  <si>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</si>
  <si>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</si>
  <si>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</si>
  <si>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</si>
  <si>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</si>
  <si>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</si>
  <si>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</si>
  <si>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</si>
  <si>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</si>
  <si>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</si>
  <si>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</si>
  <si>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</si>
  <si>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</si>
  <si>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</si>
  <si>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</si>
  <si>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</si>
  <si>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</si>
  <si>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</si>
  <si>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</si>
  <si>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</si>
  <si>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</si>
  <si>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</si>
  <si>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</si>
  <si>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</si>
  <si>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</si>
  <si>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</si>
  <si>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</si>
  <si>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</si>
  <si>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</si>
  <si>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</si>
  <si>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</si>
  <si>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</si>
  <si>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</si>
  <si>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</si>
  <si>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</si>
  <si>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</si>
  <si>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</si>
  <si>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</si>
  <si>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</si>
  <si>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</si>
  <si>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</si>
  <si>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</si>
  <si>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</si>
  <si>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</si>
  <si>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</si>
  <si>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</si>
  <si>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</si>
  <si>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</si>
  <si>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</si>
  <si>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</si>
  <si>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</si>
  <si>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</si>
  <si>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</si>
  <si>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</si>
  <si>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</si>
  <si>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</si>
  <si>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</si>
  <si>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</si>
  <si>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</si>
  <si>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</si>
  <si>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</si>
  <si>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</si>
  <si>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</si>
  <si>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</si>
  <si>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</si>
  <si>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</si>
  <si>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</si>
  <si>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</si>
  <si>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</si>
  <si>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</si>
  <si>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</si>
  <si>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</si>
  <si>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</si>
  <si>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</si>
  <si>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</si>
  <si>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</si>
  <si>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</si>
  <si>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</si>
  <si>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</si>
  <si>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</si>
  <si>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</si>
  <si>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</si>
  <si>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</si>
  <si>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</si>
  <si>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</si>
  <si>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</si>
  <si>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</si>
  <si>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</si>
  <si>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</si>
  <si>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</si>
  <si>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</si>
  <si>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</si>
  <si>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</si>
  <si>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</si>
  <si>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</si>
  <si>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</si>
  <si>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</si>
  <si>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</si>
  <si>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</si>
  <si>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</si>
  <si>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</si>
  <si>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</si>
  <si>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</si>
  <si>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</si>
  <si>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</si>
  <si>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</si>
  <si>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</si>
  <si>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</si>
  <si>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</si>
  <si>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</si>
  <si>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</si>
  <si>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</si>
  <si>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</si>
  <si>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</si>
  <si>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</si>
  <si>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</si>
  <si>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</si>
  <si>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</si>
  <si>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</si>
  <si>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</si>
  <si>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</si>
  <si>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</si>
  <si>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</si>
  <si>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</si>
  <si>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</si>
  <si>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</si>
  <si>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</si>
  <si>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</si>
  <si>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</si>
  <si>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</si>
  <si>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</si>
  <si>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</si>
  <si>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</si>
  <si>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</si>
  <si>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</si>
  <si>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</si>
  <si>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</si>
  <si>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</si>
  <si>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</si>
  <si>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</si>
  <si>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</si>
  <si>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</si>
  <si>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</si>
  <si>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</si>
  <si>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</si>
  <si>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</si>
  <si>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</si>
  <si>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</si>
  <si>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</si>
  <si>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</si>
  <si>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</si>
  <si>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</si>
  <si>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</si>
  <si>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</si>
  <si>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</si>
  <si>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</si>
  <si>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</si>
  <si>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</si>
  <si>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</si>
  <si>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</si>
  <si>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</si>
  <si>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</si>
  <si>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</si>
  <si>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</si>
  <si>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</si>
  <si>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</si>
  <si>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</si>
  <si>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</si>
  <si>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</si>
  <si>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</si>
  <si>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</si>
  <si>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</si>
  <si>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</si>
  <si>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</si>
  <si>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</si>
  <si>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</si>
  <si>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</si>
  <si>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</si>
  <si>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</si>
  <si>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</si>
  <si>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</si>
  <si>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</si>
  <si>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</si>
  <si>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</si>
  <si>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</si>
  <si>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</si>
  <si>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</si>
  <si>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</si>
  <si>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</si>
  <si>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</si>
  <si>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</si>
  <si>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</si>
  <si>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</si>
  <si>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</si>
  <si>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</si>
  <si>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</si>
  <si>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</si>
  <si>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</si>
  <si>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</si>
  <si>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</si>
  <si>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</si>
  <si>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</si>
  <si>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</si>
  <si>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</si>
  <si>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</si>
  <si>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</si>
  <si>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</si>
  <si>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</si>
  <si>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</si>
  <si>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</si>
  <si>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</si>
  <si>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</si>
  <si>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</si>
  <si>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</si>
  <si>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</si>
  <si>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</si>
  <si>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</si>
  <si>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</si>
  <si>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</si>
  <si>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</si>
  <si>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</si>
  <si>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</si>
  <si>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</si>
  <si>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</si>
  <si>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</si>
  <si>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</si>
  <si>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</si>
  <si>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</si>
  <si>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</si>
  <si>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</si>
  <si>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</si>
  <si>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</si>
  <si>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</si>
  <si>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</si>
  <si>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</si>
  <si>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</si>
  <si>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</si>
  <si>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</si>
  <si>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</si>
  <si>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</si>
  <si>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</si>
  <si>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</si>
  <si>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</si>
  <si>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</si>
  <si>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</si>
  <si>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</si>
  <si>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</si>
  <si>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</si>
  <si>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</si>
  <si>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</si>
  <si>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</si>
  <si>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</si>
  <si>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</si>
  <si>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</si>
  <si>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</si>
  <si>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</si>
  <si>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</si>
  <si>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</si>
  <si>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</si>
  <si>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</si>
  <si>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</si>
  <si>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</si>
  <si>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</si>
  <si>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</si>
  <si>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</si>
  <si>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</si>
  <si>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</si>
  <si>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</si>
  <si>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</si>
  <si>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</si>
  <si>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</si>
  <si>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</si>
  <si>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</si>
  <si>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</si>
  <si>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</si>
  <si>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</si>
  <si>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</si>
  <si>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</si>
  <si>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</si>
  <si>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</si>
  <si>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</si>
  <si>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</si>
  <si>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</si>
  <si>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</si>
  <si>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</si>
  <si>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</si>
  <si>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</si>
  <si>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</si>
  <si>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</si>
  <si>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</si>
  <si>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</si>
  <si>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</si>
  <si>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</si>
  <si>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</si>
  <si>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</si>
  <si>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</si>
  <si>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</si>
  <si>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</si>
  <si>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</si>
  <si>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</si>
  <si>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</si>
  <si>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</si>
  <si>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</si>
  <si>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</si>
  <si>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</si>
  <si>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</si>
  <si>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</si>
  <si>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</si>
  <si>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</si>
  <si>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</si>
  <si>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</si>
  <si>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</si>
  <si>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</si>
  <si>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</si>
  <si>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</si>
  <si>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</si>
  <si>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</si>
  <si>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</si>
  <si>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</si>
  <si>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</si>
  <si>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</si>
  <si>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</si>
  <si>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</si>
  <si>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</si>
  <si>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</si>
  <si>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</si>
  <si>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</si>
  <si>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</si>
  <si>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</si>
  <si>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</si>
  <si>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</si>
  <si>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</si>
  <si>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</si>
  <si>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</si>
  <si>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</si>
  <si>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</si>
  <si>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</si>
  <si>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</si>
  <si>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</si>
  <si>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</si>
  <si>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</si>
  <si>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</si>
  <si>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</si>
  <si>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</si>
  <si>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</si>
  <si>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</si>
  <si>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</si>
  <si>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</si>
  <si>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</si>
  <si>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</si>
  <si>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</si>
  <si>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</si>
  <si>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</si>
  <si>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</si>
  <si>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</si>
  <si>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</si>
  <si>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</si>
  <si>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</si>
  <si>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</si>
  <si>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</si>
  <si>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</si>
  <si>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</si>
  <si>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</si>
  <si>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</si>
  <si>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</si>
  <si>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</si>
  <si>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</si>
  <si>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</si>
  <si>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</si>
  <si>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</si>
  <si>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</si>
  <si>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</si>
  <si>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</si>
  <si>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</si>
  <si>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</si>
  <si>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</si>
  <si>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</si>
  <si>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</si>
  <si>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</si>
  <si>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</si>
  <si>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</si>
  <si>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</si>
  <si>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</si>
  <si>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</si>
  <si>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</si>
  <si>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</si>
  <si>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</si>
  <si>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</si>
  <si>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</si>
  <si>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</si>
  <si>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</si>
  <si>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</si>
  <si>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</si>
  <si>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</si>
  <si>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</si>
  <si>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</si>
  <si>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</si>
  <si>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</si>
  <si>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</si>
  <si>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</si>
  <si>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</si>
  <si>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</si>
  <si>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</si>
  <si>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</si>
  <si>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</si>
  <si>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</si>
  <si>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</si>
  <si>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</si>
  <si>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</si>
  <si>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</si>
  <si>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</si>
  <si>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</si>
  <si>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</si>
  <si>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</si>
  <si>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</si>
  <si>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</si>
  <si>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</si>
  <si>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</si>
  <si>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</si>
  <si>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</si>
  <si>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</si>
  <si>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</si>
  <si>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</si>
  <si>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</si>
  <si>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</si>
  <si>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</si>
  <si>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</si>
  <si>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</si>
  <si>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</si>
  <si>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</si>
  <si>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</si>
  <si>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</si>
  <si>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</si>
  <si>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</si>
  <si>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</si>
  <si>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</si>
  <si>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</si>
  <si>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</si>
  <si>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</si>
  <si>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</si>
  <si>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</si>
  <si>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</si>
  <si>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</si>
  <si>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</si>
  <si>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</si>
  <si>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</si>
  <si>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</si>
  <si>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</si>
  <si>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</si>
  <si>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</si>
  <si>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</si>
  <si>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</si>
  <si>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</si>
  <si>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</si>
  <si>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</si>
  <si>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</si>
  <si>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</si>
  <si>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</si>
  <si>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</si>
  <si>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</si>
  <si>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</si>
  <si>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</si>
  <si>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</si>
  <si>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</si>
  <si>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</si>
  <si>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</si>
  <si>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</si>
  <si>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</si>
  <si>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</si>
  <si>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</si>
  <si>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</si>
  <si>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</si>
  <si>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</si>
  <si>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</si>
  <si>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</si>
  <si>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</si>
  <si>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</si>
  <si>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</si>
  <si>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</si>
  <si>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</si>
  <si>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</si>
  <si>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</si>
  <si>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</si>
  <si>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</si>
  <si>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</si>
  <si>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</si>
  <si>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</si>
  <si>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</si>
  <si>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</si>
  <si>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</si>
  <si>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</si>
  <si>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</si>
  <si>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</si>
  <si>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</si>
  <si>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</si>
  <si>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</si>
  <si>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</si>
  <si>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</si>
  <si>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</si>
  <si>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</si>
  <si>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</si>
  <si>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</si>
  <si>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</si>
  <si>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</si>
  <si>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</si>
  <si>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</si>
  <si>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</si>
  <si>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</si>
  <si>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</si>
  <si>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</si>
  <si>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</si>
  <si>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</si>
  <si>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</si>
  <si>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</si>
  <si>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</si>
  <si>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</si>
  <si>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</si>
  <si>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</si>
  <si>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</si>
  <si>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</si>
  <si>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</si>
  <si>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</si>
  <si>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</si>
  <si>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</si>
  <si>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</si>
  <si>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</si>
  <si>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</si>
  <si>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</si>
  <si>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</si>
  <si>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</si>
  <si>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</si>
  <si>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</si>
  <si>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</si>
  <si>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</si>
  <si>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</si>
  <si>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</si>
  <si>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</si>
  <si>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</si>
  <si>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</si>
  <si>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</si>
  <si>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</si>
  <si>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</si>
  <si>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</si>
  <si>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</si>
  <si>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</si>
  <si>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</si>
  <si>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</si>
  <si>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</si>
  <si>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</si>
  <si>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</si>
  <si>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</si>
  <si>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</si>
  <si>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</si>
  <si>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</si>
  <si>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</si>
  <si>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</si>
  <si>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</si>
  <si>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</si>
  <si>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</si>
  <si>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</si>
  <si>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</si>
  <si>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</si>
  <si>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</si>
  <si>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</si>
  <si>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</si>
  <si>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</si>
  <si>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</si>
  <si>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</si>
  <si>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</si>
  <si>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</si>
  <si>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</si>
  <si>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</si>
  <si>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</si>
  <si>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</si>
  <si>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</si>
  <si>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</si>
  <si>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</si>
  <si>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</si>
  <si>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</si>
  <si>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</si>
  <si>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</si>
  <si>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</si>
  <si>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</si>
  <si>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</si>
  <si>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</si>
  <si>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</si>
  <si>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</si>
  <si>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</si>
  <si>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</si>
  <si>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</si>
  <si>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</si>
  <si>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</si>
  <si>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</si>
  <si>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</si>
  <si>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</si>
  <si>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</si>
  <si>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</si>
  <si>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</si>
  <si>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</si>
  <si>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</si>
  <si>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</si>
  <si>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</si>
  <si>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</si>
  <si>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</si>
  <si>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</si>
  <si>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</si>
  <si>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</si>
  <si>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</si>
  <si>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</si>
  <si>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</si>
  <si>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</si>
  <si>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</si>
  <si>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</si>
  <si>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</si>
  <si>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</si>
  <si>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</si>
  <si>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</si>
  <si>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</si>
  <si>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</si>
  <si>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</si>
  <si>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</si>
  <si>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</si>
  <si>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</si>
  <si>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</si>
  <si>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</si>
  <si>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</si>
  <si>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</si>
  <si>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</si>
  <si>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</si>
  <si>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</si>
  <si>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</si>
  <si>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</si>
  <si>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</si>
  <si>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</si>
  <si>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</si>
  <si>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</si>
  <si>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</si>
  <si>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</si>
  <si>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</si>
  <si>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</si>
  <si>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</si>
  <si>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</si>
  <si>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</si>
  <si>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</si>
  <si>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</si>
  <si>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</si>
  <si>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</si>
  <si>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</si>
  <si>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</si>
  <si>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</si>
  <si>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</si>
  <si>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</si>
  <si>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</si>
  <si>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</si>
  <si>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</si>
  <si>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</si>
  <si>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</si>
  <si>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</si>
  <si>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</si>
  <si>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</si>
  <si>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</si>
  <si>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</si>
  <si>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</si>
  <si>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</si>
  <si>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</si>
  <si>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</si>
  <si>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</si>
  <si>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</si>
  <si>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</si>
  <si>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</si>
  <si>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</si>
  <si>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</si>
  <si>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</si>
  <si>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</si>
  <si>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</si>
  <si>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</si>
  <si>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</si>
  <si>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</si>
  <si>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</si>
  <si>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</si>
  <si>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</si>
  <si>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</si>
  <si>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</si>
  <si>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</si>
  <si>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</si>
  <si>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</si>
  <si>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</si>
  <si>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</si>
  <si>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</si>
  <si>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</si>
  <si>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</si>
  <si>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</si>
  <si>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</si>
  <si>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</si>
  <si>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</si>
  <si>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</si>
  <si>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</si>
  <si>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</si>
  <si>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</si>
  <si>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</si>
  <si>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</si>
  <si>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</si>
  <si>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</si>
  <si>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</si>
  <si>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</si>
  <si>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</si>
  <si>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</si>
  <si>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</si>
  <si>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</si>
  <si>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</si>
  <si>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</si>
  <si>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</si>
  <si>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</si>
  <si>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</si>
  <si>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</si>
  <si>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</si>
  <si>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</si>
  <si>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</si>
  <si>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</si>
  <si>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</si>
  <si>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</si>
  <si>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</si>
  <si>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</si>
  <si>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</si>
  <si>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</si>
  <si>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</si>
  <si>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</si>
  <si>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</si>
  <si>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</si>
  <si>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</si>
  <si>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</si>
  <si>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</si>
  <si>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</si>
  <si>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</si>
  <si>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</si>
  <si>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</si>
  <si>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</si>
  <si>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</si>
  <si>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</si>
  <si>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</si>
  <si>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</si>
  <si>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</si>
  <si>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</si>
  <si>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</si>
  <si>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</si>
  <si>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</si>
  <si>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</si>
  <si>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</si>
  <si>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</si>
  <si>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</si>
  <si>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</si>
  <si>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</si>
  <si>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</si>
  <si>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</si>
  <si>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</si>
  <si>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</si>
  <si>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</si>
  <si>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</si>
  <si>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</si>
  <si>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</si>
  <si>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</si>
  <si>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</si>
  <si>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</si>
  <si>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</si>
  <si>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</si>
  <si>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</si>
  <si>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</si>
  <si>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</si>
  <si>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</si>
  <si>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</si>
  <si>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</si>
  <si>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</si>
  <si>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</si>
  <si>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</si>
  <si>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</si>
  <si>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</si>
  <si>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</si>
  <si>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</si>
  <si>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</si>
  <si>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</si>
  <si>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</si>
  <si>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</si>
  <si>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</si>
  <si>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</si>
  <si>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</si>
  <si>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</si>
  <si>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</si>
  <si>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</si>
  <si>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</si>
  <si>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</si>
  <si>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</si>
  <si>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</si>
  <si>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</si>
  <si>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</si>
  <si>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</si>
  <si>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</si>
  <si>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</si>
  <si>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</si>
  <si>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</si>
  <si>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</si>
  <si>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</si>
  <si>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</si>
  <si>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</si>
  <si>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</si>
  <si>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</si>
  <si>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</si>
  <si>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</si>
  <si>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</si>
  <si>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</si>
  <si>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</si>
  <si>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</si>
  <si>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</si>
  <si>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</si>
  <si>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</si>
  <si>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</si>
  <si>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</si>
  <si>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</si>
  <si>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</si>
  <si>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</si>
  <si>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</si>
  <si>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</si>
  <si>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</si>
  <si>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</si>
  <si>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</si>
  <si>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</si>
  <si>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</si>
  <si>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</si>
  <si>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</si>
  <si>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</si>
  <si>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</si>
  <si>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</si>
  <si>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</si>
  <si>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</si>
  <si>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</si>
  <si>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</si>
  <si>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</si>
  <si>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</si>
  <si>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</si>
  <si>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</si>
  <si>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</si>
  <si>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</si>
  <si>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</si>
  <si>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</si>
  <si>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</si>
  <si>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</si>
  <si>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</si>
  <si>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</si>
  <si>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</si>
  <si>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</si>
  <si>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</si>
  <si>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</si>
  <si>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</si>
  <si>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</si>
  <si>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</si>
  <si>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</si>
  <si>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</si>
  <si>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</si>
  <si>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</si>
  <si>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</si>
  <si>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</si>
  <si>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</si>
  <si>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</si>
  <si>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</si>
  <si>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</si>
  <si>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</si>
  <si>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</si>
  <si>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</si>
  <si>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</si>
  <si>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</si>
  <si>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</si>
  <si>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</si>
  <si>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</si>
  <si>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</si>
  <si>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</si>
  <si>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</si>
  <si>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</si>
  <si>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</si>
  <si>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</si>
  <si>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</si>
  <si>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</si>
  <si>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</si>
  <si>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</si>
  <si>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</si>
  <si>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</si>
  <si>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</si>
  <si>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</si>
  <si>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</si>
  <si>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</si>
  <si>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</si>
  <si>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</si>
  <si>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</si>
  <si>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</si>
  <si>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</si>
  <si>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</si>
  <si>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</si>
  <si>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</si>
  <si>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</si>
  <si>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</si>
  <si>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</si>
  <si>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</si>
  <si>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</si>
  <si>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</si>
  <si>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</si>
  <si>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</si>
  <si>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</si>
  <si>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</si>
  <si>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</si>
  <si>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</si>
  <si>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</si>
  <si>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</si>
  <si>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</si>
  <si>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</si>
  <si>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</si>
  <si>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</si>
  <si>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</si>
  <si>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</si>
  <si>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</si>
  <si>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</si>
  <si>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</si>
  <si>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</si>
  <si>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</si>
  <si>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</si>
  <si>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</si>
  <si>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</si>
  <si>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</si>
  <si>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</si>
  <si>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</si>
  <si>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</si>
  <si>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</si>
  <si>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</si>
  <si>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</si>
  <si>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</si>
  <si>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</si>
  <si>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</si>
  <si>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</si>
  <si>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</si>
  <si>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</si>
  <si>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</si>
  <si>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</si>
  <si>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</si>
  <si>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</si>
  <si>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</si>
  <si>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</si>
  <si>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</si>
  <si>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</si>
  <si>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</si>
  <si>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</si>
  <si>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</si>
  <si>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</si>
  <si>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</si>
  <si>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</si>
  <si>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</si>
  <si>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</si>
  <si>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</si>
  <si>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</si>
  <si>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</si>
  <si>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</si>
  <si>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</si>
  <si>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</si>
  <si>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</si>
  <si>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</si>
  <si>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</si>
  <si>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</si>
  <si>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</si>
  <si>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</si>
  <si>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</si>
  <si>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</si>
  <si>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</si>
  <si>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</si>
  <si>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</si>
  <si>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</si>
  <si>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</si>
  <si>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</si>
  <si>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</si>
  <si>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</si>
  <si>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</si>
  <si>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</si>
  <si>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</si>
  <si>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</si>
  <si>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</si>
  <si>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</si>
  <si>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</si>
  <si>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</si>
  <si>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</si>
  <si>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</si>
  <si>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</si>
  <si>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</si>
  <si>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</si>
  <si>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</si>
  <si>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</si>
  <si>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</si>
  <si>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</si>
  <si>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</si>
  <si>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</si>
  <si>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</si>
  <si>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</si>
  <si>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</si>
  <si>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</si>
  <si>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</si>
  <si>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</si>
  <si>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</si>
  <si>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</si>
  <si>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</si>
  <si>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</si>
  <si>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</si>
  <si>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</si>
  <si>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</si>
  <si>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</si>
  <si>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</si>
  <si>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</si>
  <si>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</si>
  <si>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</si>
  <si>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</si>
  <si>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</si>
  <si>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</si>
  <si>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</si>
  <si>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</si>
  <si>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</si>
  <si>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</si>
  <si>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</si>
  <si>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</si>
  <si>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</si>
  <si>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</si>
  <si>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</si>
  <si>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</si>
  <si>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</si>
  <si>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</si>
  <si>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</si>
  <si>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</si>
  <si>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</si>
  <si>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</si>
  <si>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</si>
  <si>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</si>
  <si>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</si>
  <si>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</si>
  <si>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</si>
  <si>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</si>
  <si>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</si>
  <si>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</si>
  <si>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</si>
  <si>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</si>
  <si>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</si>
  <si>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</si>
  <si>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</si>
  <si>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</si>
  <si>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</si>
  <si>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</si>
  <si>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</si>
  <si>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</si>
  <si>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</si>
  <si>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</si>
  <si>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</si>
  <si>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</si>
  <si>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</si>
  <si>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</si>
  <si>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</si>
  <si>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</si>
  <si>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</si>
  <si>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</si>
  <si>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</si>
  <si>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</si>
  <si>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</si>
  <si>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</si>
  <si>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</si>
  <si>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</si>
  <si>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</si>
  <si>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</si>
  <si>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</si>
  <si>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</si>
  <si>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</si>
  <si>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</si>
  <si>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</si>
  <si>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</si>
  <si>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</si>
  <si>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</si>
  <si>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</si>
  <si>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</si>
  <si>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</si>
  <si>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</si>
  <si>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</si>
  <si>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</si>
  <si>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</si>
  <si>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</si>
  <si>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</si>
  <si>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</si>
  <si>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</si>
  <si>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</si>
  <si>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</si>
  <si>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</si>
  <si>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</si>
  <si>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</si>
  <si>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</si>
  <si>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</si>
  <si>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</si>
  <si>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</si>
  <si>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</si>
  <si>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</si>
  <si>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</si>
  <si>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</si>
  <si>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</si>
  <si>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</si>
  <si>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</si>
  <si>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</si>
  <si>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</si>
  <si>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</si>
  <si>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</si>
  <si>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</si>
  <si>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</si>
  <si>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</si>
  <si>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</si>
  <si>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</si>
  <si>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</si>
  <si>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</si>
  <si>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</si>
  <si>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</si>
  <si>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</si>
  <si>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</si>
  <si>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</si>
  <si>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</si>
  <si>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</si>
  <si>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</si>
  <si>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</si>
  <si>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</si>
  <si>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</si>
  <si>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</si>
  <si>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</si>
  <si>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</si>
  <si>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</si>
  <si>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</si>
  <si>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</si>
  <si>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</si>
  <si>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</si>
  <si>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</si>
  <si>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</si>
  <si>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</si>
  <si>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</si>
  <si>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</si>
  <si>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</si>
  <si>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</si>
  <si>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</si>
  <si>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</si>
  <si>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</si>
  <si>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</si>
  <si>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</si>
  <si>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</si>
  <si>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</si>
  <si>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</si>
  <si>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</si>
  <si>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</si>
  <si>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</si>
  <si>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</si>
  <si>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</si>
  <si>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</si>
  <si>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</si>
  <si>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</si>
  <si>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</si>
  <si>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</si>
  <si>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</si>
  <si>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</si>
  <si>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</si>
  <si>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</si>
  <si>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</si>
  <si>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</si>
  <si>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</si>
  <si>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</si>
  <si>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</si>
  <si>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</si>
  <si>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</si>
  <si>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</si>
  <si>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</si>
  <si>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</si>
  <si>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</si>
  <si>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</si>
  <si>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</si>
  <si>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</si>
  <si>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</si>
  <si>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</si>
  <si>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</si>
  <si>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</si>
  <si>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</si>
  <si>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</si>
  <si>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</si>
  <si>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</si>
  <si>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</si>
  <si>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</si>
  <si>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</si>
  <si>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</si>
  <si>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</si>
  <si>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</si>
  <si>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</si>
  <si>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</si>
  <si>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</si>
  <si>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</si>
  <si>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</si>
  <si>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</si>
  <si>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</si>
  <si>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</si>
  <si>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</si>
  <si>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</si>
  <si>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</si>
  <si>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</si>
  <si>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</si>
  <si>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</si>
  <si>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</si>
  <si>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</si>
  <si>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</si>
  <si>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</si>
  <si>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</si>
  <si>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</si>
  <si>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</si>
  <si>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</si>
  <si>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</si>
  <si>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</si>
  <si>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</si>
  <si>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</si>
  <si>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</si>
  <si>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</si>
  <si>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</si>
  <si>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</si>
  <si>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</si>
  <si>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</si>
  <si>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</si>
  <si>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</si>
  <si>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</si>
  <si>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</si>
  <si>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</si>
  <si>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</si>
  <si>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</si>
  <si>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</si>
  <si>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</si>
  <si>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</si>
  <si>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</si>
  <si>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</si>
  <si>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</si>
  <si>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</si>
  <si>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</si>
  <si>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</si>
  <si>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</si>
  <si>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</si>
  <si>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</si>
  <si>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</si>
  <si>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</si>
  <si>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</si>
  <si>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</si>
  <si>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</si>
  <si>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</si>
  <si>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</si>
  <si>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</si>
  <si>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</si>
  <si>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</si>
  <si>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</si>
  <si>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</si>
  <si>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</si>
  <si>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</si>
  <si>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</si>
  <si>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</si>
  <si>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</si>
  <si>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</si>
  <si>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</si>
  <si>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</si>
  <si>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</si>
  <si>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</si>
  <si>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</si>
  <si>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</si>
  <si>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</si>
  <si>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</si>
  <si>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</si>
  <si>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</si>
  <si>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</si>
  <si>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</si>
  <si>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</si>
  <si>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</si>
  <si>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</si>
  <si>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</si>
  <si>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</si>
  <si>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</si>
  <si>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</si>
  <si>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</si>
  <si>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</si>
  <si>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</si>
  <si>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</si>
  <si>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</si>
  <si>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</si>
  <si>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</si>
  <si>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</si>
  <si>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</si>
  <si>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</si>
  <si>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</si>
  <si>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</si>
  <si>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</si>
  <si>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</si>
  <si>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</si>
  <si>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</si>
  <si>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</si>
  <si>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</si>
  <si>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</si>
  <si>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</si>
  <si>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</si>
  <si>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</si>
  <si>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</si>
  <si>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</si>
  <si>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</si>
  <si>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</si>
  <si>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</si>
  <si>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</si>
  <si>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</si>
  <si>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</si>
  <si>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</si>
  <si>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</si>
  <si>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</si>
  <si>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</si>
  <si>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</si>
  <si>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</si>
  <si>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</si>
  <si>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</si>
  <si>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</si>
  <si>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</si>
  <si>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</si>
  <si>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</si>
  <si>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</si>
  <si>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</si>
  <si>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</si>
  <si>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</si>
  <si>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</si>
  <si>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</si>
  <si>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</si>
  <si>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</si>
  <si>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</si>
  <si>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</si>
  <si>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</si>
  <si>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</si>
  <si>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</si>
  <si>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</si>
  <si>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</si>
  <si>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</si>
  <si>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</si>
  <si>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</si>
  <si>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</si>
  <si>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</si>
  <si>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</si>
  <si>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</si>
  <si>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</si>
  <si>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</si>
  <si>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</si>
  <si>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</si>
  <si>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</si>
  <si>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</si>
  <si>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</si>
  <si>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</si>
  <si>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</si>
  <si>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</si>
  <si>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</si>
  <si>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</si>
  <si>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</si>
  <si>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</si>
  <si>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</si>
  <si>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</si>
  <si>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</si>
  <si>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</si>
  <si>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</si>
  <si>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</si>
  <si>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</si>
  <si>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</si>
  <si>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</si>
  <si>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</si>
  <si>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</si>
  <si>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</si>
  <si>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</si>
  <si>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</si>
  <si>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</si>
  <si>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</si>
  <si>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</si>
  <si>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</si>
  <si>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</si>
  <si>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</si>
  <si>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</si>
  <si>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</si>
  <si>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</si>
  <si>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</si>
  <si>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</si>
  <si>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</si>
  <si>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</si>
  <si>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</si>
  <si>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</si>
  <si>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</si>
  <si>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</si>
  <si>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</si>
  <si>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</si>
  <si>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</si>
  <si>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</si>
  <si>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</si>
  <si>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</si>
  <si>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</si>
  <si>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</si>
  <si>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</si>
  <si>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</si>
  <si>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</si>
  <si>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</si>
  <si>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</si>
  <si>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</si>
  <si>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</si>
  <si>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</si>
  <si>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</si>
  <si>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</si>
  <si>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</si>
  <si>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</si>
  <si>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</si>
  <si>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</si>
  <si>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</si>
  <si>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</si>
  <si>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</si>
  <si>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</si>
  <si>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</si>
  <si>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</si>
  <si>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</si>
  <si>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</si>
  <si>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</si>
  <si>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</si>
  <si>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</si>
  <si>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</si>
  <si>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</si>
  <si>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</si>
  <si>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</si>
  <si>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</si>
  <si>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</si>
  <si>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</si>
  <si>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</si>
  <si>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</si>
  <si>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</si>
  <si>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</si>
  <si>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</si>
  <si>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</si>
  <si>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</si>
  <si>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</si>
  <si>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</si>
  <si>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</si>
  <si>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</si>
  <si>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</si>
  <si>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</si>
  <si>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</si>
  <si>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</si>
  <si>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</si>
  <si>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</si>
  <si>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</si>
  <si>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</si>
  <si>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</si>
  <si>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</si>
  <si>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</si>
  <si>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</si>
  <si>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</si>
  <si>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</si>
  <si>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</si>
  <si>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</si>
  <si>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</si>
  <si>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</si>
  <si>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</si>
  <si>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</si>
  <si>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</si>
  <si>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</si>
  <si>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</si>
  <si>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</si>
  <si>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</si>
  <si>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</si>
  <si>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</si>
  <si>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</si>
  <si>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</si>
  <si>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</si>
  <si>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</si>
  <si>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</si>
  <si>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</si>
  <si>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</si>
  <si>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</si>
  <si>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</si>
  <si>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</si>
  <si>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</si>
  <si>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</si>
  <si>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</si>
  <si>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</si>
  <si>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</si>
  <si>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</si>
  <si>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</si>
  <si>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</si>
  <si>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</si>
  <si>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</si>
  <si>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</si>
  <si>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</si>
  <si>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</si>
  <si>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</si>
  <si>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</si>
  <si>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</si>
  <si>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</si>
  <si>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</si>
  <si>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</si>
  <si>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</si>
  <si>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</si>
  <si>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</si>
  <si>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</si>
  <si>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</si>
  <si>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</si>
  <si>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</si>
  <si>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</si>
  <si>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</si>
  <si>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</si>
  <si>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</si>
  <si>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</si>
  <si>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</si>
  <si>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</si>
  <si>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</si>
  <si>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</si>
  <si>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</si>
  <si>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</si>
  <si>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</si>
  <si>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</si>
  <si>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</si>
  <si>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</si>
  <si>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</si>
  <si>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</si>
  <si>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</si>
  <si>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</si>
  <si>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</si>
  <si>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</si>
  <si>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</si>
  <si>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</si>
  <si>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</si>
  <si>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</si>
  <si>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</si>
  <si>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</si>
  <si>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</si>
  <si>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</si>
  <si>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</si>
  <si>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</si>
  <si>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</si>
  <si>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</si>
  <si>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</si>
  <si>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</si>
  <si>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</si>
  <si>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</si>
  <si>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</si>
  <si>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</si>
  <si>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</si>
  <si>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</si>
  <si>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</si>
  <si>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</si>
  <si>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</si>
  <si>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</si>
  <si>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</si>
  <si>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</si>
  <si>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</si>
  <si>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</si>
  <si>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</si>
  <si>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</si>
  <si>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</si>
  <si>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</si>
  <si>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</si>
  <si>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</si>
  <si>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</si>
  <si>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</si>
  <si>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</si>
  <si>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</si>
  <si>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</si>
  <si>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</si>
  <si>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</si>
  <si>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</si>
  <si>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</si>
  <si>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</si>
  <si>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</si>
  <si>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</si>
  <si>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</si>
  <si>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</si>
  <si>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</si>
  <si>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</si>
  <si>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</si>
  <si>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</si>
  <si>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</si>
  <si>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</si>
  <si>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</si>
  <si>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</si>
  <si>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</si>
  <si>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</si>
  <si>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</si>
  <si>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</si>
  <si>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</si>
  <si>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</si>
  <si>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</si>
  <si>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</si>
  <si>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</si>
  <si>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</si>
  <si>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</si>
  <si>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</si>
  <si>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</si>
  <si>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</si>
  <si>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</si>
  <si>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</si>
  <si>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</si>
  <si>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</si>
  <si>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</si>
  <si>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</si>
  <si>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</si>
  <si>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</si>
  <si>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</si>
  <si>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</si>
  <si>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</si>
  <si>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</si>
  <si>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</si>
  <si>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</si>
  <si>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</si>
  <si>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</si>
  <si>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</si>
  <si>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</si>
  <si>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</si>
  <si>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</si>
  <si>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</si>
  <si>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</si>
  <si>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</si>
  <si>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</si>
  <si>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</si>
  <si>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</si>
  <si>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</si>
  <si>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</si>
  <si>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</si>
  <si>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</si>
  <si>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</si>
  <si>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</si>
  <si>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</si>
  <si>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</si>
  <si>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</si>
  <si>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</si>
  <si>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</si>
  <si>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</si>
  <si>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</si>
  <si>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</si>
  <si>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</si>
  <si>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</si>
  <si>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</si>
  <si>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</si>
  <si>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</si>
  <si>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</si>
  <si>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</si>
  <si>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</si>
  <si>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</si>
  <si>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</si>
  <si>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</si>
  <si>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</si>
  <si>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</si>
  <si>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</si>
  <si>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</si>
  <si>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</si>
  <si>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</si>
  <si>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</si>
  <si>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</si>
  <si>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</si>
  <si>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</si>
  <si>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</si>
  <si>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</si>
  <si>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</si>
  <si>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</si>
  <si>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</si>
  <si>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</si>
  <si>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</si>
  <si>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</si>
  <si>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</si>
  <si>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</si>
  <si>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</si>
  <si>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</si>
  <si>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</si>
  <si>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</si>
  <si>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</si>
  <si>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</si>
  <si>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</si>
  <si>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</si>
  <si>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</si>
  <si>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</si>
  <si>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</si>
  <si>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</si>
  <si>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</si>
  <si>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</si>
  <si>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</si>
  <si>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</si>
  <si>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</si>
  <si>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</si>
  <si>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</si>
  <si>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</si>
  <si>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</si>
  <si>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</si>
  <si>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</si>
  <si>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</si>
  <si>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</si>
  <si>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</si>
  <si>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</si>
  <si>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</si>
  <si>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</si>
  <si>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</si>
  <si>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</si>
  <si>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</si>
  <si>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</si>
  <si>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</si>
  <si>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</si>
  <si>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</si>
  <si>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</si>
  <si>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</si>
  <si>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</si>
  <si>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</si>
  <si>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</si>
  <si>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</si>
  <si>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</si>
  <si>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</si>
  <si>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</si>
  <si>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</si>
  <si>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</si>
  <si>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</si>
  <si>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</si>
  <si>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</si>
  <si>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</si>
  <si>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</si>
  <si>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</si>
  <si>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</si>
  <si>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</si>
  <si>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</si>
  <si>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</si>
  <si>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</si>
  <si>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</si>
  <si>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</si>
  <si>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</si>
  <si>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</si>
  <si>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</si>
  <si>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</si>
  <si>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</si>
  <si>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</si>
  <si>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</si>
  <si>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</si>
  <si>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</si>
  <si>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</si>
  <si>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</si>
  <si>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</si>
  <si>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</si>
  <si>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</si>
  <si>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</si>
  <si>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</si>
  <si>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</si>
  <si>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</si>
  <si>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</si>
  <si>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</si>
  <si>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</si>
  <si>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</si>
  <si>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</si>
  <si>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</si>
  <si>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</si>
  <si>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</si>
  <si>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</si>
  <si>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</si>
  <si>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</si>
  <si>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</si>
  <si>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</si>
  <si>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</si>
  <si>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</si>
  <si>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</si>
  <si>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</si>
  <si>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</si>
  <si>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</si>
  <si>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</si>
  <si>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</si>
  <si>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</si>
  <si>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</si>
  <si>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</si>
  <si>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</si>
  <si>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</si>
  <si>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</si>
  <si>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</si>
  <si>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</si>
  <si>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</si>
  <si>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</si>
  <si>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</si>
  <si>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</si>
  <si>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</si>
  <si>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</si>
  <si>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</si>
  <si>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</si>
  <si>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</si>
  <si>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</si>
  <si>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</si>
  <si>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</si>
  <si>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</si>
  <si>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</si>
  <si>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</si>
  <si>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</si>
  <si>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</si>
  <si>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</si>
  <si>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</si>
  <si>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</si>
  <si>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</si>
  <si>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</si>
  <si>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</si>
  <si>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</si>
  <si>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</si>
  <si>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</si>
  <si>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</si>
  <si>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</si>
  <si>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</si>
  <si>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</si>
  <si>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</si>
  <si>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</si>
  <si>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</si>
  <si>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</si>
  <si>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</si>
  <si>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</si>
  <si>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</si>
  <si>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</si>
  <si>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</si>
  <si>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</si>
  <si>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</si>
  <si>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</si>
  <si>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</si>
  <si>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</si>
  <si>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</si>
  <si>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</si>
  <si>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</si>
  <si>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</si>
  <si>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</si>
  <si>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</si>
  <si>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</si>
  <si>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</si>
  <si>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</si>
  <si>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</si>
  <si>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</si>
  <si>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</si>
  <si>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</si>
  <si>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</si>
  <si>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</si>
  <si>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</si>
  <si>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</si>
  <si>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</si>
  <si>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</si>
  <si>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</si>
  <si>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</si>
  <si>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</si>
  <si>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</si>
  <si>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</si>
  <si>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</si>
  <si>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</si>
  <si>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</si>
  <si>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</si>
  <si>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</si>
  <si>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</si>
  <si>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</si>
  <si>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</si>
  <si>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</si>
  <si>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</si>
  <si>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</si>
  <si>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</si>
  <si>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</si>
  <si>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</si>
  <si>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</si>
  <si>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</si>
  <si>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</si>
  <si>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</si>
  <si>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</si>
  <si>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</si>
  <si>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</si>
  <si>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</si>
  <si>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</si>
  <si>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</si>
  <si>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</si>
  <si>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</si>
  <si>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</si>
  <si>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</si>
  <si>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</si>
  <si>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</si>
  <si>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</si>
  <si>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</si>
  <si>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</si>
  <si>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</si>
  <si>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</si>
  <si>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</si>
  <si>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</si>
  <si>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</si>
  <si>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</si>
  <si>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</si>
  <si>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</si>
  <si>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</si>
  <si>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</si>
  <si>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</si>
  <si>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</si>
  <si>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</si>
  <si>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</si>
  <si>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</si>
  <si>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</si>
  <si>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</si>
  <si>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</si>
  <si>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</si>
  <si>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</si>
  <si>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</si>
  <si>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</si>
  <si>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</si>
  <si>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</si>
  <si>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</si>
  <si>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</si>
  <si>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</si>
  <si>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</si>
  <si>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</si>
  <si>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</si>
  <si>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</si>
  <si>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</si>
  <si>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</si>
  <si>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</si>
  <si>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</si>
  <si>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</si>
  <si>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</si>
  <si>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</si>
  <si>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</si>
  <si>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</si>
  <si>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</si>
  <si>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</si>
  <si>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</si>
  <si>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</si>
  <si>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</si>
  <si>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</si>
  <si>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</si>
  <si>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</si>
  <si>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</si>
  <si>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</si>
  <si>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</si>
  <si>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</si>
  <si>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</si>
  <si>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</si>
  <si>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</si>
  <si>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</si>
  <si>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</si>
  <si>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</si>
  <si>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</si>
  <si>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</si>
  <si>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</si>
  <si>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</si>
  <si>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</si>
  <si>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</si>
  <si>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</si>
  <si>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</si>
  <si>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</si>
  <si>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</si>
  <si>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</si>
  <si>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</si>
  <si>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</si>
  <si>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</si>
  <si>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</si>
  <si>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</si>
  <si>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</si>
  <si>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</si>
  <si>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</si>
  <si>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</si>
  <si>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</si>
  <si>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</si>
  <si>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</si>
  <si>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</si>
  <si>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</si>
  <si>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</si>
  <si>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</si>
  <si>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</si>
  <si>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</si>
  <si>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</si>
  <si>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</si>
  <si>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</si>
  <si>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</si>
  <si>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</si>
  <si>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</si>
  <si>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</si>
  <si>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</si>
  <si>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</si>
  <si>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</si>
  <si>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</si>
  <si>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</si>
  <si>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</si>
  <si>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</si>
  <si>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</si>
  <si>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</si>
  <si>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</si>
  <si>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</si>
  <si>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</si>
  <si>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</si>
  <si>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</si>
  <si>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</si>
  <si>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</si>
  <si>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</si>
  <si>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</si>
  <si>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</si>
  <si>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</si>
  <si>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</si>
  <si>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</si>
  <si>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</si>
  <si>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</si>
  <si>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</si>
  <si>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</si>
  <si>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</si>
  <si>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</si>
  <si>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</si>
  <si>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</si>
  <si>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</si>
  <si>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</si>
  <si>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</si>
  <si>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</si>
  <si>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</si>
  <si>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</si>
  <si>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</si>
  <si>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</si>
  <si>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</si>
  <si>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</si>
  <si>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</si>
  <si>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</si>
  <si>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</si>
  <si>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</si>
  <si>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</si>
  <si>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</si>
  <si>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</si>
  <si>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</si>
  <si>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</si>
  <si>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</si>
  <si>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</si>
  <si>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</si>
  <si>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</si>
  <si>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</si>
  <si>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</si>
  <si>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</si>
  <si>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</si>
  <si>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</si>
  <si>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</si>
  <si>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</si>
  <si>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</si>
  <si>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</si>
  <si>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</si>
  <si>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</si>
  <si>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</si>
  <si>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</si>
  <si>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</si>
  <si>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</si>
  <si>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</si>
  <si>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</si>
  <si>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</si>
  <si>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</si>
  <si>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</si>
  <si>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</si>
  <si>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</si>
  <si>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</si>
  <si>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</si>
  <si>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</si>
  <si>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</si>
  <si>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</si>
  <si>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</si>
  <si>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</si>
  <si>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</si>
  <si>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</si>
  <si>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</si>
  <si>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</si>
  <si>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</si>
  <si>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</si>
  <si>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</si>
  <si>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</si>
  <si>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</si>
  <si>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</si>
  <si>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</si>
  <si>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</si>
  <si>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</si>
  <si>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</si>
  <si>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</si>
  <si>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</si>
  <si>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</si>
  <si>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</si>
  <si>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</si>
  <si>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</si>
  <si>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</si>
  <si>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</si>
  <si>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</si>
  <si>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</si>
  <si>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</si>
  <si>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</si>
  <si>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</si>
  <si>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</si>
  <si>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</si>
  <si>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</si>
  <si>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</si>
  <si>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</si>
  <si>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</si>
  <si>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</si>
  <si>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</si>
  <si>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</si>
  <si>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</si>
  <si>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</si>
  <si>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</si>
  <si>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</si>
  <si>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</si>
  <si>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</si>
  <si>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</si>
  <si>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</si>
  <si>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</si>
  <si>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</si>
  <si>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</si>
  <si>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</si>
  <si>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</si>
  <si>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</si>
  <si>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</si>
  <si>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</si>
  <si>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</si>
  <si>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</si>
  <si>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</si>
  <si>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</si>
  <si>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</si>
  <si>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</si>
  <si>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</si>
  <si>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</si>
  <si>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</si>
  <si>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</si>
  <si>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</si>
  <si>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</si>
  <si>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</si>
  <si>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</si>
  <si>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</si>
  <si>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</si>
  <si>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</si>
  <si>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</si>
  <si>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</si>
  <si>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</si>
  <si>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</si>
  <si>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</si>
  <si>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</si>
  <si>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</si>
  <si>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</si>
  <si>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</si>
  <si>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</si>
  <si>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</si>
  <si>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</si>
  <si>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</si>
  <si>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</si>
  <si>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</si>
  <si>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</si>
  <si>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</si>
  <si>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</si>
  <si>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</si>
  <si>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</si>
  <si>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</si>
  <si>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</si>
  <si>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</si>
  <si>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</si>
  <si>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</si>
  <si>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</si>
  <si>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</si>
  <si>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</si>
  <si>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</si>
  <si>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</si>
  <si>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</si>
  <si>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</si>
  <si>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</si>
  <si>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</si>
  <si>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</si>
  <si>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</si>
  <si>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</si>
  <si>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</si>
  <si>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</si>
  <si>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</si>
  <si>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</si>
  <si>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</si>
  <si>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</si>
  <si>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</si>
  <si>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</si>
  <si>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</si>
  <si>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</si>
  <si>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</si>
  <si>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</si>
  <si>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</si>
  <si>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</si>
  <si>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</si>
  <si>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</si>
  <si>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</si>
  <si>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</si>
  <si>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</si>
  <si>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</si>
  <si>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</si>
  <si>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</si>
  <si>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</si>
  <si>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</si>
  <si>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</si>
  <si>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</si>
  <si>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</si>
  <si>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</si>
  <si>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</si>
  <si>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</si>
  <si>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</si>
  <si>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</si>
  <si>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</si>
  <si>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</si>
  <si>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</si>
  <si>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</si>
  <si>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</si>
  <si>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</si>
  <si>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</si>
  <si>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</si>
  <si>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</si>
  <si>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</si>
  <si>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</si>
  <si>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</si>
  <si>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</si>
  <si>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</si>
  <si>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</si>
  <si>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</si>
  <si>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</si>
  <si>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</si>
  <si>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</si>
  <si>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</si>
  <si>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</si>
  <si>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</si>
  <si>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</si>
  <si>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</si>
  <si>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</si>
  <si>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</si>
  <si>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</si>
  <si>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</si>
  <si>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</si>
  <si>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</si>
  <si>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</si>
  <si>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</si>
  <si>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</si>
  <si>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</si>
  <si>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</si>
  <si>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</si>
  <si>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</si>
  <si>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</si>
  <si>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</si>
  <si>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</si>
  <si>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</si>
  <si>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</si>
  <si>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</si>
  <si>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</si>
  <si>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</si>
  <si>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</si>
  <si>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</si>
  <si>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</si>
  <si>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</si>
  <si>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</si>
  <si>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</si>
  <si>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</si>
  <si>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</si>
  <si>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</si>
  <si>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</si>
  <si>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</si>
  <si>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</si>
  <si>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</si>
  <si>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</si>
  <si>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</si>
  <si>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</si>
  <si>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</si>
  <si>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</si>
  <si>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</si>
  <si>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</si>
  <si>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</si>
  <si>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</si>
  <si>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</si>
  <si>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</si>
  <si>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</si>
  <si>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</si>
  <si>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</si>
  <si>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</si>
  <si>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</si>
  <si>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</si>
  <si>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</si>
  <si>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</si>
  <si>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</si>
  <si>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</si>
  <si>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</si>
  <si>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</si>
  <si>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</si>
  <si>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</si>
  <si>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</si>
  <si>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</si>
  <si>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</si>
  <si>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</si>
  <si>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</si>
  <si>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</si>
  <si>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</si>
  <si>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</si>
  <si>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</si>
  <si>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</si>
  <si>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</si>
  <si>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</si>
  <si>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</si>
  <si>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</si>
  <si>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</si>
  <si>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</si>
  <si>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</si>
  <si>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</si>
  <si>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</si>
  <si>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</si>
  <si>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</si>
  <si>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</si>
  <si>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</si>
  <si>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</si>
  <si>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</si>
  <si>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</si>
  <si>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</si>
  <si>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</si>
  <si>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</si>
  <si>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</si>
  <si>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</si>
  <si>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</si>
  <si>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</si>
  <si>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</si>
  <si>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</si>
  <si>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</si>
  <si>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</si>
  <si>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</si>
  <si>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</si>
  <si>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</si>
  <si>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</si>
  <si>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</si>
  <si>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</si>
  <si>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</si>
  <si>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</si>
  <si>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</si>
  <si>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</si>
  <si>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</si>
  <si>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</si>
  <si>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</si>
  <si>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</si>
  <si>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</si>
  <si>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</si>
  <si>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</si>
  <si>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</si>
  <si>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</si>
  <si>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</si>
  <si>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</si>
  <si>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</si>
  <si>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</si>
  <si>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</si>
  <si>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</si>
  <si>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</si>
  <si>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</si>
  <si>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</si>
  <si>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</si>
  <si>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</si>
  <si>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</si>
  <si>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</si>
  <si>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</si>
  <si>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</si>
  <si>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</si>
  <si>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</si>
  <si>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</si>
  <si>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</si>
  <si>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</si>
  <si>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</si>
  <si>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</si>
  <si>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</si>
  <si>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</si>
  <si>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</si>
  <si>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</si>
  <si>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</si>
  <si>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</si>
  <si>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</si>
  <si>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</si>
  <si>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</si>
  <si>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</si>
  <si>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</si>
  <si>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</si>
  <si>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</si>
  <si>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</si>
  <si>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</si>
  <si>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</si>
  <si>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</si>
  <si>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</si>
  <si>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</si>
  <si>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</si>
  <si>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</si>
  <si>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</si>
  <si>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</si>
  <si>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</si>
  <si>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</si>
  <si>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</si>
  <si>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</si>
  <si>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</si>
  <si>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</si>
  <si>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</si>
  <si>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</si>
  <si>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</si>
  <si>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</si>
  <si>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</si>
  <si>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</si>
  <si>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</si>
  <si>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</si>
  <si>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</si>
  <si>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</si>
  <si>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</si>
  <si>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</si>
  <si>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</si>
  <si>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</si>
  <si>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</si>
  <si>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</si>
  <si>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</si>
  <si>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</si>
  <si>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</si>
  <si>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</si>
  <si>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</si>
  <si>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</si>
  <si>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</si>
  <si>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</si>
  <si>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</si>
  <si>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</si>
  <si>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</si>
  <si>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</si>
  <si>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</si>
  <si>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</si>
  <si>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</si>
  <si>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</si>
  <si>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</si>
  <si>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</si>
  <si>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</si>
  <si>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</si>
  <si>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</si>
  <si>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</si>
  <si>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</si>
  <si>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</si>
  <si>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</si>
  <si>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</si>
  <si>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</si>
  <si>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</si>
  <si>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</si>
  <si>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</si>
  <si>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</si>
  <si>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</si>
  <si>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</si>
  <si>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</si>
  <si>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</si>
  <si>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</si>
  <si>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</si>
  <si>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</si>
  <si>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</si>
  <si>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</si>
  <si>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</si>
  <si>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</si>
  <si>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</si>
  <si>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</si>
  <si>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</si>
  <si>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</si>
  <si>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</si>
  <si>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</si>
  <si>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</si>
  <si>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</si>
  <si>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</si>
  <si>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</si>
  <si>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</si>
  <si>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</si>
  <si>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</si>
  <si>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</si>
  <si>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</si>
  <si>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</si>
  <si>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</si>
  <si>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</si>
  <si>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</si>
  <si>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</si>
  <si>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</si>
  <si>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</si>
  <si>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</si>
  <si>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</si>
  <si>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</si>
  <si>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</si>
  <si>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</si>
  <si>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</si>
  <si>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</si>
  <si>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</si>
  <si>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</si>
  <si>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</si>
  <si>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</si>
  <si>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</si>
  <si>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</si>
  <si>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</si>
  <si>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</si>
  <si>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</si>
  <si>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</si>
  <si>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</si>
  <si>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</si>
  <si>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</si>
  <si>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</si>
  <si>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</si>
  <si>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</si>
  <si>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</si>
  <si>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</si>
  <si>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</si>
  <si>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</si>
  <si>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</si>
  <si>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</si>
  <si>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</si>
  <si>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</si>
  <si>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</si>
  <si>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</si>
  <si>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</si>
  <si>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</si>
  <si>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</si>
  <si>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</si>
  <si>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</si>
  <si>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</si>
  <si>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</si>
  <si>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</si>
  <si>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</si>
  <si>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</si>
  <si>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</si>
  <si>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</si>
  <si>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</si>
  <si>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</si>
  <si>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</si>
  <si>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</si>
  <si>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</si>
  <si>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</si>
  <si>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</si>
  <si>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</si>
  <si>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</si>
  <si>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</si>
  <si>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</si>
  <si>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</si>
  <si>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</si>
  <si>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</si>
  <si>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</si>
  <si>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</si>
  <si>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</si>
  <si>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</si>
  <si>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</si>
  <si>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</si>
  <si>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</si>
  <si>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</si>
  <si>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</si>
  <si>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</si>
  <si>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</si>
  <si>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</si>
  <si>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</si>
  <si>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</si>
  <si>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</si>
  <si>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</si>
  <si>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</si>
  <si>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</si>
  <si>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</si>
  <si>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</si>
  <si>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</si>
  <si>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</si>
  <si>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</si>
  <si>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</si>
  <si>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</si>
  <si>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</si>
  <si>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</si>
  <si>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</si>
  <si>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</si>
  <si>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</si>
  <si>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</si>
  <si>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</si>
  <si>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</si>
  <si>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</si>
  <si>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</si>
  <si>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</si>
  <si>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</si>
  <si>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</si>
  <si>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</si>
  <si>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</si>
  <si>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</si>
  <si>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</si>
  <si>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</si>
  <si>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</si>
  <si>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</si>
  <si>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</si>
  <si>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</si>
  <si>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</si>
  <si>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</si>
  <si>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</si>
  <si>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</si>
  <si>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</si>
  <si>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</si>
  <si>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</si>
  <si>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</si>
  <si>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</si>
  <si>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</si>
  <si>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</si>
  <si>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</si>
  <si>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</si>
  <si>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</si>
  <si>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</si>
  <si>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</si>
  <si>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</si>
  <si>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</si>
  <si>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</si>
  <si>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</si>
  <si>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</si>
  <si>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</si>
  <si>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</si>
  <si>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</si>
  <si>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</si>
  <si>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</si>
  <si>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</si>
  <si>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</si>
  <si>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</si>
  <si>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</si>
  <si>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</si>
  <si>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</si>
  <si>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</si>
  <si>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</si>
  <si>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</si>
  <si>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</si>
  <si>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</si>
  <si>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</si>
  <si>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</si>
  <si>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</si>
  <si>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</si>
  <si>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</si>
  <si>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</si>
  <si>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</si>
  <si>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</si>
  <si>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</si>
  <si>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</si>
  <si>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</si>
  <si>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</si>
  <si>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</si>
  <si>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</si>
  <si>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</si>
  <si>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</si>
  <si>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</si>
  <si>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</si>
  <si>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</si>
  <si>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</si>
  <si>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</si>
  <si>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</si>
  <si>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</si>
  <si>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</si>
  <si>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</si>
  <si>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</si>
  <si>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</si>
  <si>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</si>
  <si>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</si>
  <si>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</si>
  <si>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</si>
  <si>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</si>
  <si>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</si>
  <si>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</si>
  <si>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</si>
  <si>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</si>
  <si>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</si>
  <si>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</si>
  <si>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</si>
  <si>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</si>
  <si>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</si>
  <si>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</si>
  <si>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</si>
  <si>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</si>
  <si>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</si>
  <si>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</si>
  <si>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</si>
  <si>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</si>
  <si>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</si>
  <si>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</si>
  <si>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</si>
  <si>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</si>
  <si>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</si>
  <si>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</si>
  <si>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</si>
  <si>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</si>
  <si>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</si>
  <si>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</si>
  <si>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</si>
  <si>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</si>
  <si>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</si>
  <si>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</si>
  <si>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</si>
  <si>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</si>
  <si>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</si>
  <si>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</si>
  <si>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</si>
  <si>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</si>
  <si>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</si>
  <si>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</si>
  <si>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</si>
  <si>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</si>
  <si>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</si>
  <si>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</si>
  <si>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</si>
  <si>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</si>
  <si>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</si>
  <si>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</si>
  <si>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</si>
  <si>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</si>
  <si>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</si>
  <si>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</si>
  <si>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</si>
  <si>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</si>
  <si>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</si>
  <si>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</si>
  <si>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</si>
  <si>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</si>
  <si>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</si>
  <si>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</si>
  <si>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</si>
  <si>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</si>
  <si>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</si>
  <si>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</si>
  <si>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</si>
  <si>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</si>
  <si>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</si>
  <si>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</si>
  <si>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</si>
  <si>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</si>
  <si>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</si>
  <si>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</si>
  <si>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</si>
  <si>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</si>
  <si>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</si>
  <si>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</si>
  <si>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</si>
  <si>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</si>
  <si>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</si>
  <si>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</si>
  <si>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</si>
  <si>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</si>
  <si>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</si>
  <si>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</si>
  <si>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</si>
  <si>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</si>
  <si>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</si>
  <si>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</si>
  <si>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</si>
  <si>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</si>
  <si>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</si>
  <si>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</si>
  <si>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</si>
  <si>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</si>
  <si>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</si>
  <si>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</si>
  <si>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</si>
  <si>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</si>
  <si>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</si>
  <si>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</si>
  <si>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</si>
  <si>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</si>
  <si>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</si>
  <si>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</si>
  <si>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</si>
  <si>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</si>
  <si>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</si>
  <si>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</si>
  <si>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</si>
  <si>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</si>
  <si>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</si>
  <si>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</si>
  <si>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</si>
  <si>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</si>
  <si>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</si>
  <si>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</si>
  <si>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</si>
  <si>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</si>
  <si>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</si>
  <si>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</si>
  <si>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</si>
  <si>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</si>
  <si>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</si>
  <si>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</si>
  <si>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</si>
  <si>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</si>
  <si>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</si>
  <si>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</si>
  <si>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</si>
  <si>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</si>
  <si>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</si>
  <si>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</si>
  <si>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</si>
  <si>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</si>
  <si>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</si>
  <si>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</si>
  <si>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</si>
  <si>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</si>
  <si>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</si>
  <si>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</si>
  <si>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</si>
  <si>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</si>
  <si>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</si>
  <si>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</si>
  <si>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</si>
  <si>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</si>
  <si>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</si>
  <si>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</si>
  <si>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</si>
  <si>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</si>
  <si>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</si>
  <si>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</si>
  <si>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</si>
  <si>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</si>
  <si>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</si>
  <si>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</si>
  <si>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</si>
  <si>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</si>
  <si>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</si>
  <si>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</si>
  <si>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</si>
  <si>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</si>
  <si>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</si>
  <si>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</si>
  <si>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</si>
  <si>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</si>
  <si>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</si>
  <si>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</si>
  <si>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</si>
  <si>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</si>
  <si>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</si>
  <si>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</si>
  <si>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</si>
  <si>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</si>
  <si>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</si>
  <si>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</si>
  <si>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</si>
  <si>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</si>
  <si>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</si>
  <si>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</si>
  <si>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</si>
  <si>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</si>
  <si>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</si>
  <si>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</si>
  <si>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</si>
  <si>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</si>
  <si>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</si>
  <si>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</si>
  <si>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</si>
  <si>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</si>
  <si>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</si>
  <si>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</si>
  <si>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</si>
  <si>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</si>
  <si>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</si>
  <si>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</si>
  <si>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</si>
  <si>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</si>
  <si>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</si>
  <si>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</si>
  <si>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</si>
  <si>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</si>
  <si>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</si>
  <si>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</si>
  <si>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</si>
  <si>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</si>
  <si>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</si>
  <si>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</si>
  <si>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</si>
  <si>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</si>
  <si>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</si>
  <si>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</si>
  <si>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</si>
  <si>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</si>
  <si>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</si>
  <si>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</si>
  <si>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</si>
  <si>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</si>
  <si>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</si>
  <si>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</si>
  <si>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</si>
  <si>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</si>
  <si>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</si>
  <si>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</si>
  <si>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</si>
  <si>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</si>
  <si>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</si>
  <si>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</si>
  <si>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</si>
  <si>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</si>
  <si>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</si>
  <si>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</si>
  <si>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</si>
  <si>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</si>
  <si>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</si>
  <si>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</si>
  <si>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</si>
  <si>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</si>
  <si>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</si>
  <si>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</si>
  <si>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</si>
  <si>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</si>
  <si>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</si>
  <si>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</si>
  <si>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</si>
  <si>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</si>
  <si>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</si>
  <si>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</si>
  <si>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</si>
  <si>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</si>
  <si>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</si>
  <si>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</si>
  <si>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</si>
  <si>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</si>
  <si>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</si>
  <si>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</si>
  <si>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</si>
  <si>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</si>
  <si>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</si>
  <si>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</si>
  <si>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</si>
  <si>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</si>
  <si>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</si>
  <si>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</si>
  <si>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</si>
  <si>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</si>
  <si>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</si>
  <si>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</si>
  <si>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</si>
  <si>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</si>
  <si>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</si>
  <si>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</si>
  <si>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</si>
  <si>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</si>
  <si>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</si>
  <si>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</si>
  <si>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</si>
  <si>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</si>
  <si>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</si>
  <si>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</si>
  <si>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</si>
  <si>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</si>
  <si>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</si>
  <si>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</si>
  <si>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</si>
  <si>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</si>
  <si>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</si>
  <si>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</si>
  <si>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</si>
  <si>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</si>
  <si>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</si>
  <si>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</si>
  <si>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</si>
  <si>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</si>
  <si>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</si>
  <si>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</si>
  <si>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</si>
  <si>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</si>
  <si>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</si>
  <si>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</si>
  <si>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</si>
  <si>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</si>
  <si>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</si>
  <si>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</si>
  <si>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</si>
  <si>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</si>
  <si>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</si>
  <si>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</si>
  <si>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</si>
  <si>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</si>
  <si>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</si>
  <si>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</si>
  <si>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</si>
  <si>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</si>
  <si>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</si>
  <si>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</si>
  <si>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</si>
  <si>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</si>
  <si>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</si>
  <si>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</si>
  <si>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</si>
  <si>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</si>
  <si>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</si>
  <si>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</si>
  <si>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</si>
  <si>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</si>
  <si>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</si>
  <si>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</si>
  <si>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</si>
  <si>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</si>
  <si>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</si>
  <si>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</si>
  <si>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</si>
  <si>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</si>
  <si>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</si>
  <si>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</si>
  <si>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</si>
  <si>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</si>
  <si>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</si>
  <si>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</si>
  <si>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</si>
  <si>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</si>
  <si>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</si>
  <si>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</si>
  <si>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</si>
  <si>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</si>
  <si>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</si>
  <si>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</si>
  <si>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</si>
  <si>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</si>
  <si>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</si>
  <si>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</si>
  <si>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</si>
  <si>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</si>
  <si>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</si>
  <si>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</si>
  <si>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</si>
  <si>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</si>
  <si>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</si>
  <si>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</si>
  <si>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</si>
  <si>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</si>
  <si>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</si>
  <si>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</si>
  <si>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</si>
  <si>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</si>
  <si>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</si>
  <si>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</si>
  <si>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</si>
  <si>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</si>
  <si>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</si>
  <si>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</si>
  <si>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</si>
  <si>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</si>
  <si>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</si>
  <si>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</si>
  <si>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</si>
  <si>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</si>
  <si>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</si>
  <si>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</si>
  <si>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</si>
  <si>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</si>
  <si>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</si>
  <si>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</si>
  <si>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</si>
  <si>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</si>
  <si>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</si>
  <si>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</si>
  <si>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</si>
  <si>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</si>
  <si>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</si>
  <si>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</si>
  <si>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</si>
  <si>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</si>
  <si>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</si>
  <si>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</si>
  <si>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</si>
  <si>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</si>
  <si>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</si>
  <si>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</si>
  <si>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</si>
  <si>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</si>
  <si>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</si>
  <si>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</si>
  <si>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</si>
  <si>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</si>
  <si>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</si>
  <si>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</si>
  <si>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</si>
  <si>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</si>
  <si>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</si>
  <si>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</si>
  <si>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</si>
  <si>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</si>
  <si>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</si>
  <si>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</si>
  <si>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</si>
  <si>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</si>
  <si>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</si>
  <si>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</si>
  <si>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</si>
  <si>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</si>
  <si>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</si>
  <si>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</si>
  <si>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</si>
  <si>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</si>
  <si>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</si>
  <si>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</si>
  <si>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</si>
  <si>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</si>
  <si>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</si>
  <si>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</si>
  <si>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</si>
  <si>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</si>
  <si>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</si>
  <si>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</si>
  <si>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</si>
  <si>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</si>
  <si>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</si>
  <si>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</si>
  <si>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</si>
  <si>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</si>
  <si>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</si>
  <si>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</si>
  <si>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</si>
  <si>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</si>
  <si>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</si>
  <si>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</si>
  <si>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</si>
  <si>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</si>
  <si>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</si>
  <si>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</si>
  <si>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</si>
  <si>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</si>
  <si>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</si>
  <si>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</si>
  <si>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</si>
  <si>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</si>
  <si>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</si>
  <si>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</si>
  <si>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</si>
  <si>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</si>
  <si>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</si>
  <si>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</si>
  <si>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</si>
  <si>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</si>
  <si>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</si>
  <si>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</si>
  <si>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</si>
  <si>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</si>
  <si>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</si>
  <si>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</si>
  <si>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</si>
  <si>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</si>
  <si>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</si>
  <si>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</si>
  <si>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</si>
  <si>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</si>
  <si>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</si>
  <si>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</si>
  <si>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</si>
  <si>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</si>
  <si>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</si>
  <si>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</si>
  <si>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</si>
  <si>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</si>
  <si>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</si>
  <si>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</si>
  <si>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</si>
  <si>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</si>
  <si>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</si>
  <si>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</si>
  <si>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</si>
  <si>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</si>
  <si>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</si>
  <si>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</si>
  <si>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</si>
  <si>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</si>
  <si>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</si>
  <si>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</si>
  <si>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</si>
  <si>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</si>
  <si>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</si>
  <si>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</si>
  <si>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</si>
  <si>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</si>
  <si>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</si>
  <si>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</si>
  <si>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</si>
  <si>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</si>
  <si>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</si>
  <si>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</si>
  <si>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</si>
  <si>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</si>
  <si>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</si>
  <si>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</si>
  <si>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</si>
  <si>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</si>
  <si>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</si>
  <si>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</si>
  <si>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</si>
  <si>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</si>
  <si>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</si>
  <si>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</si>
  <si>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</si>
  <si>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</si>
  <si>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</si>
  <si>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</si>
  <si>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</si>
  <si>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</si>
  <si>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</si>
  <si>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</si>
  <si>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</si>
  <si>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</si>
  <si>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</si>
  <si>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</si>
  <si>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</si>
  <si>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</si>
  <si>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</si>
  <si>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</si>
  <si>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</si>
  <si>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</si>
  <si>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</si>
  <si>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</si>
  <si>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</si>
  <si>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</si>
  <si>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</si>
  <si>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</si>
  <si>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</si>
  <si>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</si>
  <si>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</si>
  <si>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</si>
  <si>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</si>
  <si>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</si>
  <si>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</si>
  <si>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</si>
  <si>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</si>
  <si>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</si>
  <si>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</si>
  <si>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</si>
  <si>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</si>
  <si>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</si>
  <si>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</si>
  <si>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</si>
  <si>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</si>
  <si>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</si>
  <si>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</si>
  <si>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</si>
  <si>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</si>
  <si>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</si>
  <si>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</si>
  <si>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</si>
  <si>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</si>
  <si>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</si>
  <si>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</si>
  <si>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</si>
  <si>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</si>
  <si>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</si>
  <si>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</si>
  <si>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</si>
  <si>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</si>
  <si>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</si>
  <si>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</si>
  <si>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</si>
  <si>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</si>
  <si>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</si>
  <si>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</si>
  <si>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</si>
  <si>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</si>
  <si>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</si>
  <si>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</si>
  <si>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</si>
  <si>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</si>
  <si>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</si>
  <si>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</si>
  <si>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</si>
  <si>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</si>
  <si>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</si>
  <si>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</si>
  <si>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</si>
  <si>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</si>
  <si>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</si>
  <si>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</si>
  <si>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</si>
  <si>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</si>
  <si>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</si>
  <si>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</si>
  <si>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</si>
  <si>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</si>
  <si>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</si>
  <si>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</si>
  <si>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</si>
  <si>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</si>
  <si>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</si>
  <si>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</si>
  <si>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</si>
  <si>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</si>
  <si>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</si>
  <si>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</si>
  <si>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</si>
  <si>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</si>
  <si>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</si>
  <si>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</si>
  <si>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</si>
  <si>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</si>
  <si>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</si>
  <si>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</si>
  <si>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</si>
  <si>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</si>
  <si>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</si>
  <si>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</si>
  <si>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</si>
  <si>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</si>
  <si>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</si>
  <si>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</si>
  <si>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</si>
  <si>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</si>
  <si>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</si>
  <si>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</si>
  <si>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</si>
  <si>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</si>
  <si>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</si>
  <si>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</si>
  <si>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</si>
  <si>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</si>
  <si>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</si>
  <si>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</si>
  <si>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</si>
  <si>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</si>
  <si>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</si>
  <si>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</si>
  <si>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</si>
  <si>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</si>
  <si>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</si>
  <si>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</si>
  <si>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</si>
  <si>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</si>
  <si>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</si>
  <si>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</si>
  <si>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</si>
  <si>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</si>
  <si>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</si>
  <si>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</si>
  <si>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</si>
  <si>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</si>
  <si>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</si>
  <si>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</si>
  <si>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</si>
  <si>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</si>
  <si>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</si>
  <si>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</si>
  <si>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</si>
  <si>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</si>
  <si>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</si>
  <si>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</si>
  <si>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</si>
  <si>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</si>
  <si>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</si>
  <si>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</si>
  <si>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</si>
  <si>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</si>
  <si>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</si>
  <si>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</si>
  <si>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</si>
  <si>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</si>
  <si>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</si>
  <si>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</si>
  <si>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</si>
  <si>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</si>
  <si>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</si>
  <si>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</si>
  <si>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</si>
  <si>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</si>
  <si>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</si>
  <si>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</si>
  <si>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</si>
  <si>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</si>
  <si>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</si>
  <si>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</si>
  <si>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</si>
  <si>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</si>
  <si>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</si>
  <si>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</si>
  <si>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</si>
  <si>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</si>
  <si>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</si>
  <si>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</si>
  <si>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</si>
  <si>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</si>
  <si>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</si>
  <si>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</si>
  <si>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</si>
  <si>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</si>
  <si>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</si>
  <si>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</si>
  <si>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</si>
  <si>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</si>
  <si>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</si>
  <si>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</si>
  <si>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</si>
  <si>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</si>
  <si>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</si>
  <si>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</si>
  <si>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</si>
  <si>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</si>
  <si>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</si>
  <si>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</si>
  <si>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</si>
  <si>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</si>
  <si>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</si>
  <si>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</si>
  <si>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</si>
  <si>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</si>
  <si>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</si>
  <si>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</si>
  <si>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</si>
  <si>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</si>
  <si>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</si>
  <si>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</si>
  <si>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</si>
  <si>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</si>
  <si>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</si>
  <si>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</si>
  <si>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</si>
  <si>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</si>
  <si>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</si>
  <si>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</si>
  <si>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</si>
  <si>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</si>
  <si>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</si>
  <si>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</si>
  <si>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</si>
  <si>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</si>
  <si>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</si>
  <si>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</si>
  <si>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</si>
  <si>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</si>
  <si>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</si>
  <si>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</si>
  <si>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</si>
  <si>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</si>
  <si>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</si>
  <si>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</si>
  <si>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</si>
  <si>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</si>
  <si>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</si>
  <si>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</si>
  <si>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</si>
  <si>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</si>
  <si>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</si>
  <si>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</si>
  <si>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</si>
  <si>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</si>
  <si>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</si>
  <si>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</si>
  <si>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</si>
  <si>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</si>
  <si>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</si>
  <si>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</si>
  <si>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</si>
  <si>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</si>
  <si>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</si>
  <si>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</si>
  <si>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</si>
  <si>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</si>
  <si>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</si>
  <si>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</si>
  <si>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</si>
  <si>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</si>
  <si>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</si>
  <si>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</si>
  <si>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</si>
  <si>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</si>
  <si>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</si>
  <si>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</si>
  <si>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</si>
  <si>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</si>
  <si>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</si>
  <si>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</si>
  <si>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</si>
  <si>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</si>
  <si>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</si>
  <si>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</si>
  <si>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</si>
  <si>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</si>
  <si>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</si>
  <si>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</si>
  <si>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</si>
  <si>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</si>
  <si>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</si>
  <si>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</si>
  <si>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</si>
  <si>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</si>
  <si>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</si>
  <si>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</si>
  <si>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</si>
  <si>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</si>
  <si>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</si>
  <si>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</si>
  <si>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</si>
  <si>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</si>
  <si>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</si>
  <si>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</si>
  <si>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</si>
  <si>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</si>
  <si>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</si>
  <si>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</si>
  <si>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</si>
  <si>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</si>
  <si>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</si>
  <si>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</si>
  <si>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</si>
  <si>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</si>
  <si>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</si>
  <si>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</si>
  <si>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</si>
  <si>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</si>
  <si>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</si>
  <si>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</si>
  <si>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</si>
  <si>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</si>
  <si>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</si>
  <si>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</si>
  <si>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</si>
  <si>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</si>
  <si>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</si>
  <si>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</si>
  <si>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</si>
  <si>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</si>
  <si>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</si>
  <si>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</si>
  <si>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</si>
  <si>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</si>
  <si>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</si>
  <si>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</si>
  <si>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</si>
  <si>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</si>
  <si>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</si>
  <si>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</si>
  <si>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</si>
  <si>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</si>
  <si>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</si>
  <si>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</si>
  <si>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</si>
  <si>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</si>
  <si>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</si>
  <si>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</si>
  <si>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</si>
  <si>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</si>
  <si>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</si>
  <si>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</si>
  <si>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</si>
  <si>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</si>
  <si>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</si>
  <si>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</si>
  <si>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</si>
  <si>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</si>
  <si>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</si>
  <si>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</si>
  <si>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</si>
  <si>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</si>
  <si>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</si>
  <si>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</si>
  <si>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</si>
  <si>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</si>
  <si>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</si>
  <si>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</si>
  <si>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</si>
  <si>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</si>
  <si>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</si>
  <si>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</si>
  <si>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</si>
  <si>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</si>
  <si>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</si>
  <si>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</si>
  <si>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</si>
  <si>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</si>
  <si>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</si>
  <si>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</si>
  <si>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</si>
  <si>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</si>
  <si>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</si>
  <si>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</si>
  <si>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</si>
  <si>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</si>
  <si>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</si>
  <si>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</si>
  <si>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</si>
  <si>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</si>
  <si>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</si>
  <si>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</si>
  <si>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</si>
  <si>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</si>
  <si>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</si>
  <si>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</si>
  <si>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</si>
  <si>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</si>
  <si>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</si>
  <si>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</si>
  <si>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</si>
  <si>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</si>
  <si>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</si>
  <si>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</si>
  <si>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</si>
  <si>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</si>
  <si>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</si>
  <si>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</si>
  <si>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</si>
  <si>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</si>
  <si>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</si>
  <si>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</si>
  <si>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</si>
  <si>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</si>
  <si>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</si>
  <si>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</si>
  <si>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</si>
  <si>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</si>
  <si>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</si>
  <si>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</si>
  <si>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</si>
  <si>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</si>
  <si>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</si>
  <si>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</si>
  <si>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</si>
  <si>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</si>
  <si>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</si>
  <si>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</si>
  <si>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</si>
  <si>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</si>
  <si>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</si>
  <si>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</si>
  <si>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</si>
  <si>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</si>
  <si>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</si>
  <si>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</si>
  <si>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</si>
  <si>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</si>
  <si>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</si>
  <si>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</si>
  <si>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</si>
  <si>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</si>
  <si>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</si>
  <si>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</si>
  <si>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</si>
  <si>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</si>
  <si>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</si>
  <si>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</si>
  <si>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</si>
  <si>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</si>
  <si>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</si>
  <si>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</si>
  <si>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</si>
  <si>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</si>
  <si>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</si>
  <si>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</si>
  <si>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</si>
  <si>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</si>
  <si>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</si>
  <si>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</si>
  <si>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</si>
  <si>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</si>
  <si>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</si>
  <si>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</si>
  <si>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</si>
  <si>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</si>
  <si>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</si>
  <si>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</si>
  <si>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</si>
  <si>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</si>
  <si>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</si>
  <si>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</si>
  <si>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</si>
  <si>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</si>
  <si>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</si>
  <si>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</si>
  <si>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</si>
  <si>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</si>
  <si>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</si>
  <si>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</si>
  <si>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</si>
  <si>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</si>
  <si>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</si>
  <si>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</si>
  <si>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</si>
  <si>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</si>
  <si>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</si>
  <si>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</si>
  <si>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</si>
  <si>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</si>
  <si>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</si>
  <si>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</si>
  <si>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</si>
  <si>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</si>
  <si>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</si>
  <si>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</si>
  <si>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</si>
  <si>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</si>
  <si>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</si>
  <si>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</si>
  <si>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</si>
  <si>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</si>
  <si>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</si>
  <si>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</si>
  <si>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</si>
  <si>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</si>
  <si>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</si>
  <si>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</si>
  <si>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</si>
  <si>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</si>
  <si>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</si>
  <si>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</si>
  <si>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</si>
  <si>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</si>
  <si>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</si>
  <si>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</si>
  <si>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</si>
  <si>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</si>
  <si>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</si>
  <si>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</si>
  <si>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</si>
  <si>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</si>
  <si>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</si>
  <si>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</si>
  <si>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</si>
  <si>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</si>
  <si>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</si>
  <si>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</si>
  <si>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</si>
  <si>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</si>
  <si>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</si>
  <si>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</si>
  <si>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</si>
  <si>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</si>
  <si>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</si>
  <si>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</si>
  <si>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</si>
  <si>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</si>
  <si>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</si>
  <si>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</si>
  <si>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</si>
  <si>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</si>
  <si>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</si>
  <si>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</si>
  <si>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</si>
  <si>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</si>
  <si>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</si>
  <si>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</si>
  <si>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</si>
  <si>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</si>
  <si>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</si>
  <si>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</si>
  <si>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</si>
  <si>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</si>
  <si>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</si>
  <si>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</si>
  <si>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</si>
  <si>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</si>
  <si>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</si>
  <si>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</si>
  <si>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</si>
  <si>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</si>
  <si>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</si>
  <si>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</si>
  <si>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</si>
  <si>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</si>
  <si>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</si>
  <si>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</si>
  <si>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</si>
  <si>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</si>
  <si>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</si>
  <si>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</si>
  <si>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</si>
  <si>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</si>
  <si>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</si>
  <si>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</si>
  <si>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</si>
  <si>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</si>
  <si>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</si>
  <si>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</si>
  <si>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</si>
  <si>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</si>
  <si>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</si>
  <si>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</si>
  <si>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</si>
  <si>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</si>
  <si>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</si>
  <si>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</si>
  <si>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</si>
  <si>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</si>
  <si>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</si>
  <si>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</si>
  <si>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</si>
  <si>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</si>
  <si>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</si>
  <si>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</si>
  <si>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</si>
  <si>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</si>
  <si>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</si>
  <si>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</si>
  <si>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</si>
  <si>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</si>
  <si>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</si>
  <si>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</si>
  <si>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</si>
  <si>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</si>
  <si>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</si>
  <si>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</si>
  <si>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</si>
  <si>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</si>
  <si>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</si>
  <si>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</si>
  <si>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</si>
  <si>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</si>
  <si>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</si>
  <si>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</si>
  <si>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</si>
  <si>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</si>
  <si>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</si>
  <si>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</si>
  <si>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</si>
  <si>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</si>
  <si>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</si>
  <si>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</si>
  <si>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</si>
  <si>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</si>
  <si>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</si>
  <si>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</si>
  <si>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</si>
  <si>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</si>
  <si>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</si>
  <si>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</si>
  <si>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</si>
  <si>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</si>
  <si>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</si>
  <si>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</si>
  <si>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</si>
  <si>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</si>
  <si>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</si>
  <si>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</si>
  <si>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شاراک 1205 تا 691.1</t>
  </si>
  <si>
    <t>وغدیر 24871 تا 236</t>
  </si>
  <si>
    <t>طلب از رضا معادل 21963 تا وغدیر</t>
  </si>
  <si>
    <t>23/4/1398</t>
  </si>
  <si>
    <t>شاراک 328 تا 705.1</t>
  </si>
  <si>
    <t>26/4/1398</t>
  </si>
  <si>
    <t>1/5/1398</t>
  </si>
  <si>
    <t>24/4/1398</t>
  </si>
  <si>
    <t>وغدیر 5096 تا 235.1</t>
  </si>
  <si>
    <t>وغدیر 5967 تا 235.2</t>
  </si>
  <si>
    <t>وغدیر 98414 تا 234</t>
  </si>
  <si>
    <t>25/4/1398</t>
  </si>
  <si>
    <t>وغدیر 19941 تا 225</t>
  </si>
  <si>
    <t>وغدیر 174863 تا 224</t>
  </si>
  <si>
    <t>سود ایجاد شده تا 25/4/1398</t>
  </si>
  <si>
    <t>وغدیر 8184 تا 232.7</t>
  </si>
  <si>
    <t>وغدیر 8247 تا 232.6</t>
  </si>
  <si>
    <t>وغدیر 11093 تا 233.2</t>
  </si>
  <si>
    <t>بدهی به داریوش</t>
  </si>
  <si>
    <t>29/4/1398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</si>
</sst>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zoomScale="85" zoomScaleNormal="85" workbookViewId="0">
      <selection activeCell="G16" sqref="G1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4934</v>
      </c>
      <c r="B1" s="99" t="s">
        <v>4935</v>
      </c>
      <c r="C1" s="99" t="s">
        <v>4936</v>
      </c>
      <c r="D1" s="99" t="s">
        <v>4937</v>
      </c>
      <c r="E1" s="99" t="s">
        <v>4947</v>
      </c>
      <c r="F1" s="99" t="s">
        <v>4946</v>
      </c>
      <c r="G1" s="99" t="s">
        <v>4272</v>
      </c>
      <c r="H1" s="69" t="s">
        <v>5059</v>
      </c>
      <c r="K1" t="s">
        <v>4939</v>
      </c>
      <c r="L1" t="s">
        <v>4943</v>
      </c>
      <c r="M1" t="s">
        <v>4944</v>
      </c>
    </row>
    <row r="2" spans="1:18">
      <c r="A2" s="118" t="s">
        <v>4938</v>
      </c>
      <c r="B2" s="118">
        <v>1120643604</v>
      </c>
      <c r="C2" s="118">
        <v>930</v>
      </c>
      <c r="D2" s="118">
        <f>B2*C2/$K$2</f>
        <v>14.474979885</v>
      </c>
      <c r="E2" s="118"/>
      <c r="F2" s="118"/>
      <c r="G2" s="118">
        <v>4000</v>
      </c>
      <c r="H2" s="118">
        <f>B2*G2/$K$2</f>
        <v>62.257978000000001</v>
      </c>
      <c r="K2">
        <v>72000000000</v>
      </c>
      <c r="L2">
        <v>27308458109</v>
      </c>
      <c r="M2">
        <v>40500000000</v>
      </c>
    </row>
    <row r="3" spans="1:18">
      <c r="A3" s="146" t="s">
        <v>4940</v>
      </c>
      <c r="B3" s="146">
        <v>2605736250</v>
      </c>
      <c r="C3" s="146">
        <v>80</v>
      </c>
      <c r="D3" s="146">
        <f>B3*C3/$K$2</f>
        <v>2.8952624999999999</v>
      </c>
      <c r="E3" s="146"/>
      <c r="F3" s="146"/>
      <c r="G3" s="146">
        <v>1536</v>
      </c>
      <c r="H3" s="146">
        <f>B3*G3/$K$2</f>
        <v>55.589039999999997</v>
      </c>
      <c r="L3">
        <f>L2/M2</f>
        <v>0.67428291627160497</v>
      </c>
    </row>
    <row r="4" spans="1:18">
      <c r="A4" s="146" t="s">
        <v>4941</v>
      </c>
      <c r="B4" s="146">
        <v>560000000</v>
      </c>
      <c r="C4" s="146">
        <v>25</v>
      </c>
      <c r="D4" s="146">
        <f>B4*C4/$K$2</f>
        <v>0.19444444444444445</v>
      </c>
      <c r="E4" s="146"/>
      <c r="F4" s="146"/>
      <c r="G4" s="146">
        <v>216</v>
      </c>
      <c r="H4" s="146">
        <f>B4*G4/$K$2</f>
        <v>1.68</v>
      </c>
    </row>
    <row r="5" spans="1:18">
      <c r="A5" s="99" t="s">
        <v>4942</v>
      </c>
      <c r="B5" s="99">
        <v>15161250</v>
      </c>
      <c r="C5" s="99">
        <v>200</v>
      </c>
      <c r="D5" s="99">
        <f>B5*C5/$K$2</f>
        <v>4.211458333333333E-2</v>
      </c>
      <c r="E5" s="99"/>
      <c r="F5" s="99"/>
      <c r="G5" s="99">
        <v>1493</v>
      </c>
      <c r="H5" s="99">
        <f>B5*G5/$K$2</f>
        <v>0.31438536458333333</v>
      </c>
    </row>
    <row r="6" spans="1:18">
      <c r="A6" s="23"/>
      <c r="B6" s="23"/>
      <c r="C6" s="23"/>
      <c r="D6" s="23">
        <f>B6*C6/$K$2</f>
        <v>0</v>
      </c>
      <c r="E6" s="23"/>
      <c r="F6" s="23"/>
      <c r="G6" s="23"/>
      <c r="H6" s="99"/>
    </row>
    <row r="7" spans="1:18">
      <c r="A7" s="118" t="s">
        <v>4938</v>
      </c>
      <c r="B7" s="118">
        <v>1124709340</v>
      </c>
      <c r="C7" s="118">
        <f>C2</f>
        <v>930</v>
      </c>
      <c r="D7" s="118">
        <f t="shared" ref="D7:D19" si="0">B7*C7*$L$3/$K$2</f>
        <v>9.7956421273860297</v>
      </c>
      <c r="E7" s="118">
        <v>0</v>
      </c>
      <c r="F7" s="118">
        <f t="shared" ref="F7:F19" si="1">B7*E7*$L$3/$K$2</f>
        <v>0</v>
      </c>
      <c r="G7" s="118">
        <f>G2</f>
        <v>4000</v>
      </c>
      <c r="H7" s="118">
        <f t="shared" ref="H7:H15" si="2">B7*G7*$L$3/$K$2</f>
        <v>42.131794096284004</v>
      </c>
    </row>
    <row r="8" spans="1:18">
      <c r="A8" s="146" t="s">
        <v>4945</v>
      </c>
      <c r="B8" s="146">
        <v>555409765</v>
      </c>
      <c r="C8" s="146">
        <v>250</v>
      </c>
      <c r="D8" s="146">
        <f t="shared" si="0"/>
        <v>1.3003587363539126</v>
      </c>
      <c r="E8" s="146">
        <v>300</v>
      </c>
      <c r="F8" s="146">
        <f t="shared" si="1"/>
        <v>1.5604304836246949</v>
      </c>
      <c r="G8" s="146">
        <v>3950</v>
      </c>
      <c r="H8" s="146">
        <f t="shared" si="2"/>
        <v>20.54566803439182</v>
      </c>
    </row>
    <row r="9" spans="1:18">
      <c r="A9" s="99" t="s">
        <v>4942</v>
      </c>
      <c r="B9" s="99">
        <v>2103087537</v>
      </c>
      <c r="C9" s="99">
        <v>200</v>
      </c>
      <c r="D9" s="99">
        <f t="shared" si="0"/>
        <v>3.9390999933967414</v>
      </c>
      <c r="E9" s="99"/>
      <c r="F9" s="99">
        <f t="shared" si="1"/>
        <v>0</v>
      </c>
      <c r="G9" s="99">
        <f>G5</f>
        <v>1493</v>
      </c>
      <c r="H9" s="99">
        <f t="shared" si="2"/>
        <v>29.405381450706674</v>
      </c>
      <c r="J9" t="s">
        <v>25</v>
      </c>
    </row>
    <row r="10" spans="1:18">
      <c r="A10" s="99" t="s">
        <v>4948</v>
      </c>
      <c r="B10" s="99">
        <v>4123527587</v>
      </c>
      <c r="C10" s="99">
        <v>400</v>
      </c>
      <c r="D10" s="99">
        <f t="shared" si="0"/>
        <v>15.44680114827097</v>
      </c>
      <c r="E10" s="99"/>
      <c r="F10" s="99">
        <f t="shared" si="1"/>
        <v>0</v>
      </c>
      <c r="G10" s="99">
        <v>1768</v>
      </c>
      <c r="H10" s="99">
        <f t="shared" si="2"/>
        <v>68.274861075357677</v>
      </c>
    </row>
    <row r="11" spans="1:18">
      <c r="A11" s="272" t="s">
        <v>4949</v>
      </c>
      <c r="B11" s="272">
        <v>2635379034</v>
      </c>
      <c r="C11" s="272">
        <v>0</v>
      </c>
      <c r="D11" s="272">
        <f t="shared" si="0"/>
        <v>0</v>
      </c>
      <c r="E11" s="272"/>
      <c r="F11" s="272">
        <f t="shared" si="1"/>
        <v>0</v>
      </c>
      <c r="G11" s="272">
        <v>887</v>
      </c>
      <c r="H11" s="272">
        <f t="shared" si="2"/>
        <v>21.891542648431432</v>
      </c>
    </row>
    <row r="12" spans="1:18">
      <c r="A12" s="99" t="s">
        <v>4950</v>
      </c>
      <c r="B12" s="99">
        <v>1886721602</v>
      </c>
      <c r="C12" s="99">
        <v>350</v>
      </c>
      <c r="D12" s="99">
        <f t="shared" si="0"/>
        <v>6.1842284777252505</v>
      </c>
      <c r="E12" s="99"/>
      <c r="F12" s="99">
        <f t="shared" si="1"/>
        <v>0</v>
      </c>
      <c r="G12" s="99">
        <v>2599</v>
      </c>
      <c r="H12" s="99">
        <f t="shared" si="2"/>
        <v>45.922313753165497</v>
      </c>
      <c r="M12" t="s">
        <v>5037</v>
      </c>
    </row>
    <row r="13" spans="1:18">
      <c r="A13" s="146" t="s">
        <v>4951</v>
      </c>
      <c r="B13" s="146">
        <v>1630533748</v>
      </c>
      <c r="C13" s="146">
        <v>60</v>
      </c>
      <c r="D13" s="146">
        <f t="shared" si="0"/>
        <v>0.91620087556725849</v>
      </c>
      <c r="E13" s="146"/>
      <c r="F13" s="146">
        <f t="shared" si="1"/>
        <v>0</v>
      </c>
      <c r="G13" s="146">
        <v>763</v>
      </c>
      <c r="H13" s="146">
        <f t="shared" si="2"/>
        <v>11.651021134296972</v>
      </c>
      <c r="M13" s="99" t="s">
        <v>180</v>
      </c>
      <c r="N13" s="99" t="s">
        <v>267</v>
      </c>
      <c r="O13" s="99" t="s">
        <v>5035</v>
      </c>
      <c r="P13" s="99"/>
      <c r="Q13" s="99"/>
      <c r="R13" s="99"/>
    </row>
    <row r="14" spans="1:18">
      <c r="A14" s="146" t="s">
        <v>4393</v>
      </c>
      <c r="B14" s="146">
        <v>813533684</v>
      </c>
      <c r="C14" s="146">
        <v>1460</v>
      </c>
      <c r="D14" s="146">
        <f t="shared" si="0"/>
        <v>11.123412816690907</v>
      </c>
      <c r="E14" s="146"/>
      <c r="F14" s="146">
        <f t="shared" si="1"/>
        <v>0</v>
      </c>
      <c r="G14" s="146">
        <v>5820</v>
      </c>
      <c r="H14" s="146">
        <f t="shared" si="2"/>
        <v>44.341275748726773</v>
      </c>
      <c r="M14" s="99" t="s">
        <v>5027</v>
      </c>
      <c r="N14" s="18">
        <v>7500000</v>
      </c>
      <c r="O14" s="99">
        <v>4</v>
      </c>
      <c r="P14" s="99"/>
      <c r="Q14" s="99"/>
      <c r="R14" s="99"/>
    </row>
    <row r="15" spans="1:18">
      <c r="A15" s="146" t="s">
        <v>4952</v>
      </c>
      <c r="B15" s="146">
        <v>236958025</v>
      </c>
      <c r="C15" s="146">
        <v>270</v>
      </c>
      <c r="D15" s="146">
        <f t="shared" si="0"/>
        <v>0.59916280549109957</v>
      </c>
      <c r="E15" s="146"/>
      <c r="F15" s="146">
        <f t="shared" si="1"/>
        <v>0</v>
      </c>
      <c r="G15" s="146">
        <v>1516</v>
      </c>
      <c r="H15" s="146">
        <f t="shared" si="2"/>
        <v>3.364188196757433</v>
      </c>
      <c r="M15" s="99" t="s">
        <v>5034</v>
      </c>
      <c r="N15" s="18">
        <v>-500000</v>
      </c>
      <c r="O15" s="99">
        <v>7</v>
      </c>
      <c r="P15" s="99"/>
      <c r="Q15" s="99"/>
      <c r="R15" s="99"/>
    </row>
    <row r="16" spans="1:18">
      <c r="A16" s="99"/>
      <c r="B16" s="99"/>
      <c r="C16" s="99"/>
      <c r="D16" s="99">
        <f t="shared" si="0"/>
        <v>0</v>
      </c>
      <c r="E16" s="99"/>
      <c r="F16" s="99">
        <f t="shared" si="1"/>
        <v>0</v>
      </c>
      <c r="G16" s="99"/>
      <c r="H16" s="99"/>
      <c r="M16" s="99" t="s">
        <v>5045</v>
      </c>
      <c r="N16" s="18">
        <v>-7000000</v>
      </c>
      <c r="O16" s="99">
        <v>1</v>
      </c>
      <c r="P16" s="99"/>
      <c r="Q16" s="99"/>
      <c r="R16" s="99"/>
    </row>
    <row r="17" spans="1:18">
      <c r="A17" s="99"/>
      <c r="B17" s="99"/>
      <c r="C17" s="99"/>
      <c r="D17" s="99">
        <f t="shared" si="0"/>
        <v>0</v>
      </c>
      <c r="E17" s="99"/>
      <c r="F17" s="99">
        <f t="shared" si="1"/>
        <v>0</v>
      </c>
      <c r="G17" s="99"/>
      <c r="H17" s="99"/>
      <c r="M17" s="99" t="s">
        <v>5053</v>
      </c>
      <c r="N17" s="18">
        <v>2000000</v>
      </c>
      <c r="O17" s="99">
        <v>6</v>
      </c>
      <c r="P17" s="99"/>
      <c r="Q17" s="99"/>
      <c r="R17" s="99"/>
    </row>
    <row r="18" spans="1:18">
      <c r="A18" s="99"/>
      <c r="B18" s="99"/>
      <c r="C18" s="99"/>
      <c r="D18" s="99">
        <f t="shared" si="0"/>
        <v>0</v>
      </c>
      <c r="E18" s="99"/>
      <c r="F18" s="99">
        <f t="shared" si="1"/>
        <v>0</v>
      </c>
      <c r="G18" s="99"/>
      <c r="H18" s="99"/>
      <c r="M18" s="99" t="s">
        <v>5071</v>
      </c>
      <c r="N18" s="18">
        <v>1000000</v>
      </c>
      <c r="O18" s="99">
        <v>3</v>
      </c>
      <c r="P18" s="99"/>
      <c r="Q18" s="99"/>
      <c r="R18" s="99"/>
    </row>
    <row r="19" spans="1:18">
      <c r="A19" s="99"/>
      <c r="B19" s="99"/>
      <c r="C19" s="99"/>
      <c r="D19" s="99">
        <f t="shared" si="0"/>
        <v>0</v>
      </c>
      <c r="E19" s="99"/>
      <c r="F19" s="99">
        <f t="shared" si="1"/>
        <v>0</v>
      </c>
      <c r="G19" s="99"/>
      <c r="H19" s="99"/>
      <c r="M19" s="99" t="s">
        <v>5086</v>
      </c>
      <c r="N19" s="18">
        <v>200000</v>
      </c>
      <c r="O19" s="99">
        <v>3</v>
      </c>
      <c r="P19" s="99"/>
      <c r="Q19" s="99"/>
      <c r="R19" s="99"/>
    </row>
    <row r="20" spans="1:18">
      <c r="A20" s="99"/>
      <c r="B20" s="99"/>
      <c r="C20" s="99"/>
      <c r="D20" s="99"/>
      <c r="E20" s="99"/>
      <c r="F20" s="99"/>
      <c r="G20" s="99"/>
      <c r="H20" s="99"/>
      <c r="J20" t="s">
        <v>25</v>
      </c>
      <c r="M20" s="99" t="s">
        <v>5089</v>
      </c>
      <c r="N20" s="18">
        <v>-3200000</v>
      </c>
      <c r="O20" s="99">
        <v>6</v>
      </c>
      <c r="P20" s="99"/>
      <c r="Q20" s="99"/>
      <c r="R20" s="99"/>
    </row>
    <row r="21" spans="1:18">
      <c r="A21" s="99"/>
      <c r="B21" s="99"/>
      <c r="C21" s="99"/>
      <c r="D21" s="99">
        <f>SUM(D2:D15)</f>
        <v>66.91170839365995</v>
      </c>
      <c r="E21" s="99"/>
      <c r="F21" s="99"/>
      <c r="G21" s="99"/>
      <c r="H21" s="99">
        <f>SUM(H2:H19)</f>
        <v>407.36944950270157</v>
      </c>
      <c r="I21">
        <f>H21*0.8</f>
        <v>325.89555960216126</v>
      </c>
      <c r="M21" s="99" t="s">
        <v>5108</v>
      </c>
      <c r="N21" s="18">
        <v>6000000</v>
      </c>
      <c r="O21" s="99">
        <v>1</v>
      </c>
      <c r="P21" s="99"/>
      <c r="Q21" s="99"/>
      <c r="R21" s="99"/>
    </row>
    <row r="22" spans="1:18">
      <c r="A22" s="99"/>
      <c r="B22" s="99"/>
      <c r="C22" s="99"/>
      <c r="D22" s="99"/>
      <c r="E22" s="99"/>
      <c r="F22" s="99"/>
      <c r="G22" s="99"/>
      <c r="H22" s="99"/>
      <c r="M22" s="99" t="s">
        <v>5109</v>
      </c>
      <c r="N22" s="18">
        <v>2000000</v>
      </c>
      <c r="O22" s="99">
        <v>3</v>
      </c>
      <c r="P22" s="99"/>
      <c r="Q22" s="99"/>
      <c r="R22" s="99"/>
    </row>
    <row r="23" spans="1:18">
      <c r="A23" s="99"/>
      <c r="B23" s="99"/>
      <c r="C23" s="99"/>
      <c r="D23" s="99"/>
      <c r="E23" s="99"/>
      <c r="F23" s="99"/>
      <c r="G23" s="99"/>
      <c r="H23" s="99"/>
      <c r="M23" s="99" t="s">
        <v>5123</v>
      </c>
      <c r="N23" s="18">
        <v>-50000</v>
      </c>
      <c r="O23" s="99">
        <v>7</v>
      </c>
      <c r="P23" s="99"/>
      <c r="Q23" s="99"/>
      <c r="R23" s="99"/>
    </row>
    <row r="24" spans="1:18">
      <c r="A24" s="99"/>
      <c r="B24" s="99"/>
      <c r="C24" s="99"/>
      <c r="D24" s="99"/>
      <c r="E24" s="99"/>
      <c r="F24" s="99"/>
      <c r="G24" s="99"/>
      <c r="H24" s="99"/>
      <c r="M24" s="99" t="s">
        <v>5136</v>
      </c>
      <c r="N24" s="18">
        <v>-2480000</v>
      </c>
      <c r="O24" s="99">
        <v>5</v>
      </c>
      <c r="P24" s="99"/>
      <c r="Q24" s="99"/>
      <c r="R24" s="99"/>
    </row>
    <row r="25" spans="1:18">
      <c r="H25">
        <v>230</v>
      </c>
      <c r="I25">
        <f>H25/H21</f>
        <v>0.56459805780913053</v>
      </c>
      <c r="M25" s="99" t="s">
        <v>5150</v>
      </c>
      <c r="N25" s="18">
        <v>300000</v>
      </c>
      <c r="O25" s="99">
        <v>1</v>
      </c>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5770000</v>
      </c>
      <c r="O29" s="99"/>
      <c r="P29" s="99"/>
      <c r="Q29" s="99"/>
      <c r="R29" s="99"/>
    </row>
    <row r="30" spans="1:18">
      <c r="B30" s="96"/>
      <c r="C30" s="96"/>
      <c r="D30" s="96"/>
      <c r="N30" t="s">
        <v>5036</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4915</v>
      </c>
      <c r="E1" t="s">
        <v>4916</v>
      </c>
      <c r="F1" t="s">
        <v>8</v>
      </c>
    </row>
    <row r="2" spans="1:6">
      <c r="A2" t="s">
        <v>4919</v>
      </c>
      <c r="B2">
        <v>237</v>
      </c>
      <c r="C2">
        <v>281</v>
      </c>
      <c r="D2">
        <f>B2/C2</f>
        <v>0.84341637010676151</v>
      </c>
      <c r="E2" t="s">
        <v>4920</v>
      </c>
      <c r="F2" t="s">
        <v>4921</v>
      </c>
    </row>
    <row r="3" spans="1:6">
      <c r="A3" t="s">
        <v>4533</v>
      </c>
      <c r="B3">
        <v>134</v>
      </c>
      <c r="C3">
        <v>193</v>
      </c>
      <c r="D3" s="96">
        <f t="shared" ref="D3:D21" si="0">B3/C3</f>
        <v>0.69430051813471505</v>
      </c>
      <c r="E3" t="s">
        <v>4920</v>
      </c>
      <c r="F3" s="96" t="s">
        <v>4921</v>
      </c>
    </row>
    <row r="4" spans="1:6">
      <c r="A4" t="s">
        <v>4922</v>
      </c>
      <c r="B4">
        <v>195</v>
      </c>
      <c r="C4">
        <v>73</v>
      </c>
      <c r="D4" s="96">
        <f t="shared" si="0"/>
        <v>2.6712328767123288</v>
      </c>
      <c r="E4" t="s">
        <v>4923</v>
      </c>
      <c r="F4" t="s">
        <v>4924</v>
      </c>
    </row>
    <row r="5" spans="1:6">
      <c r="A5" t="s">
        <v>4925</v>
      </c>
      <c r="B5">
        <v>1</v>
      </c>
      <c r="C5">
        <v>1</v>
      </c>
      <c r="D5" s="96">
        <f t="shared" si="0"/>
        <v>1</v>
      </c>
      <c r="E5" t="s">
        <v>4923</v>
      </c>
      <c r="F5" t="s">
        <v>4926</v>
      </c>
    </row>
    <row r="6" spans="1:6">
      <c r="A6" t="s">
        <v>4574</v>
      </c>
      <c r="B6">
        <v>163</v>
      </c>
      <c r="C6">
        <v>232</v>
      </c>
      <c r="D6" s="96">
        <f t="shared" si="0"/>
        <v>0.70258620689655171</v>
      </c>
      <c r="F6" s="96" t="s">
        <v>4921</v>
      </c>
    </row>
    <row r="7" spans="1:6">
      <c r="A7" t="s">
        <v>4927</v>
      </c>
      <c r="B7">
        <v>247</v>
      </c>
      <c r="C7">
        <v>250</v>
      </c>
      <c r="D7" s="96">
        <f t="shared" si="0"/>
        <v>0.98799999999999999</v>
      </c>
    </row>
    <row r="8" spans="1:6">
      <c r="A8" t="s">
        <v>4928</v>
      </c>
      <c r="B8">
        <v>335</v>
      </c>
      <c r="C8">
        <v>141</v>
      </c>
      <c r="D8" s="96">
        <f t="shared" si="0"/>
        <v>2.375886524822695</v>
      </c>
      <c r="F8" s="96" t="s">
        <v>4926</v>
      </c>
    </row>
    <row r="9" spans="1:6">
      <c r="A9" t="s">
        <v>4805</v>
      </c>
      <c r="B9">
        <v>150</v>
      </c>
      <c r="C9">
        <v>240</v>
      </c>
      <c r="D9" s="96">
        <f t="shared" si="0"/>
        <v>0.625</v>
      </c>
      <c r="F9" t="s">
        <v>4929</v>
      </c>
    </row>
    <row r="10" spans="1:6">
      <c r="A10" t="s">
        <v>4930</v>
      </c>
      <c r="B10">
        <v>187</v>
      </c>
      <c r="C10">
        <v>208</v>
      </c>
      <c r="D10" s="96">
        <f t="shared" si="0"/>
        <v>0.89903846153846156</v>
      </c>
      <c r="F10" t="s">
        <v>4920</v>
      </c>
    </row>
    <row r="11" spans="1:6">
      <c r="A11" t="s">
        <v>4931</v>
      </c>
      <c r="B11">
        <v>412</v>
      </c>
      <c r="C11">
        <v>183</v>
      </c>
      <c r="D11" s="96">
        <f t="shared" si="0"/>
        <v>2.2513661202185791</v>
      </c>
      <c r="F11" s="96" t="s">
        <v>4926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4914</v>
      </c>
      <c r="B21">
        <v>113</v>
      </c>
      <c r="C21">
        <v>215</v>
      </c>
      <c r="D21" s="96">
        <f t="shared" si="0"/>
        <v>0.52558139534883719</v>
      </c>
      <c r="E21" t="s">
        <v>4917</v>
      </c>
      <c r="F21" t="s">
        <v>4918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4859</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4861</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4858</v>
      </c>
      <c r="B4" s="18">
        <v>-960200</v>
      </c>
      <c r="C4" s="18">
        <v>0</v>
      </c>
      <c r="D4" s="113">
        <f t="shared" si="0"/>
        <v>-960200</v>
      </c>
      <c r="E4" s="99" t="s">
        <v>4862</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4863</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4860</v>
      </c>
      <c r="F42" s="96"/>
      <c r="G42" s="96"/>
      <c r="H42" s="96"/>
      <c r="I42" s="96"/>
      <c r="J42" s="96"/>
      <c r="K42" s="96"/>
      <c r="L42" s="96"/>
      <c r="M42" s="96"/>
      <c r="N42" s="96"/>
      <c r="O42" s="96"/>
      <c r="P42" s="96"/>
      <c r="Q42" s="96"/>
      <c r="R42" s="96"/>
      <c r="S42" s="96"/>
      <c r="T42" s="96"/>
      <c r="U42" s="96"/>
    </row>
    <row r="43" spans="1:21">
      <c r="A43" s="96"/>
      <c r="B43" s="96"/>
      <c r="C43" s="96"/>
      <c r="D43" s="18">
        <v>252830</v>
      </c>
      <c r="E43" s="122" t="s">
        <v>4865</v>
      </c>
      <c r="F43" s="96"/>
      <c r="G43" s="96"/>
      <c r="H43" s="96"/>
      <c r="I43" s="96"/>
      <c r="J43" s="96"/>
      <c r="K43" s="96"/>
      <c r="L43" s="96"/>
      <c r="M43" s="96"/>
      <c r="N43" s="96"/>
      <c r="O43" s="96"/>
      <c r="P43" s="96"/>
      <c r="Q43" s="96"/>
      <c r="R43" s="96"/>
      <c r="S43" s="96"/>
      <c r="T43" s="96"/>
      <c r="U43" s="96"/>
    </row>
    <row r="44" spans="1:21">
      <c r="A44" s="96"/>
      <c r="B44" s="96"/>
      <c r="C44" s="96"/>
      <c r="D44" s="18">
        <v>178820</v>
      </c>
      <c r="E44" s="122" t="s">
        <v>4869</v>
      </c>
      <c r="F44" s="96"/>
      <c r="G44" s="96"/>
      <c r="H44" s="96"/>
      <c r="I44" s="96"/>
      <c r="J44" s="96"/>
      <c r="K44" s="96"/>
      <c r="L44" s="96"/>
      <c r="M44" s="96"/>
      <c r="N44" s="96"/>
      <c r="O44" s="96"/>
      <c r="P44" s="96"/>
      <c r="Q44" s="96"/>
      <c r="R44" s="96"/>
      <c r="S44" s="96"/>
      <c r="T44" s="96"/>
      <c r="U44" s="96"/>
    </row>
    <row r="45" spans="1:21">
      <c r="A45" s="96"/>
      <c r="B45" s="96"/>
      <c r="C45" s="96"/>
      <c r="D45" s="18">
        <v>382000</v>
      </c>
      <c r="E45" s="122" t="s">
        <v>4877</v>
      </c>
      <c r="F45" s="96"/>
      <c r="G45" s="96"/>
      <c r="H45" s="96"/>
      <c r="I45" s="96"/>
      <c r="J45" s="96"/>
      <c r="K45" s="96"/>
      <c r="L45" s="96"/>
      <c r="M45" s="96"/>
      <c r="N45" s="96"/>
      <c r="O45" s="96"/>
      <c r="P45" s="96"/>
      <c r="Q45" s="96"/>
      <c r="R45" s="96"/>
      <c r="S45" s="96"/>
      <c r="T45" s="96"/>
      <c r="U45" s="96"/>
    </row>
    <row r="46" spans="1:21">
      <c r="A46" s="96"/>
      <c r="B46" s="96"/>
      <c r="C46" s="96"/>
      <c r="D46" s="18">
        <v>-200000</v>
      </c>
      <c r="E46" s="122" t="s">
        <v>4878</v>
      </c>
      <c r="F46" s="96"/>
      <c r="G46" s="96"/>
      <c r="H46" s="96"/>
      <c r="I46" s="96"/>
      <c r="J46" s="96"/>
      <c r="K46" s="96"/>
      <c r="L46" s="96"/>
      <c r="M46" s="96"/>
      <c r="N46" s="96"/>
      <c r="O46" s="96"/>
      <c r="P46" s="96"/>
      <c r="Q46" s="96"/>
      <c r="R46" s="96"/>
      <c r="S46" s="96"/>
      <c r="T46" s="96"/>
      <c r="U46" s="96"/>
    </row>
    <row r="47" spans="1:21">
      <c r="A47" s="96"/>
      <c r="B47" s="96"/>
      <c r="C47" s="96"/>
      <c r="D47" s="18">
        <v>-2336075</v>
      </c>
      <c r="E47" s="122" t="s">
        <v>4882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4896</v>
      </c>
      <c r="F50" s="96"/>
      <c r="G50" s="96"/>
      <c r="H50" s="96"/>
      <c r="I50" s="96"/>
      <c r="J50" s="96"/>
      <c r="K50" s="96"/>
      <c r="L50" s="96"/>
      <c r="M50" s="96"/>
      <c r="N50" s="96"/>
      <c r="O50" s="96"/>
      <c r="P50" s="96"/>
      <c r="Q50" s="96"/>
      <c r="R50" s="96"/>
      <c r="S50" s="96"/>
      <c r="T50" s="96"/>
      <c r="U50" s="96"/>
    </row>
    <row r="51" spans="1:21">
      <c r="A51" s="96"/>
      <c r="B51" s="96"/>
      <c r="C51" s="96"/>
      <c r="D51" s="18">
        <v>-40000</v>
      </c>
      <c r="E51" s="122" t="s">
        <v>4897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4910</v>
      </c>
      <c r="F52" s="96"/>
      <c r="G52" s="96"/>
      <c r="H52" s="96"/>
      <c r="I52" s="96"/>
      <c r="J52" s="96"/>
      <c r="K52" s="96"/>
      <c r="L52" s="96"/>
      <c r="M52" s="96"/>
      <c r="N52" s="96"/>
      <c r="O52" s="96"/>
      <c r="P52" s="96"/>
      <c r="Q52" s="96"/>
      <c r="R52" s="96"/>
      <c r="S52" s="96"/>
      <c r="T52" s="96"/>
      <c r="U52" s="96"/>
    </row>
    <row r="53" spans="1:21">
      <c r="A53" s="96"/>
      <c r="B53" s="96"/>
      <c r="C53" s="96"/>
      <c r="D53" s="18">
        <v>160000</v>
      </c>
      <c r="E53" s="122" t="s">
        <v>4913</v>
      </c>
      <c r="F53" s="96"/>
      <c r="G53" s="96"/>
      <c r="H53" s="96"/>
      <c r="I53" s="96"/>
      <c r="J53" s="96"/>
      <c r="K53" s="96"/>
      <c r="L53" s="96"/>
      <c r="M53" s="96"/>
      <c r="N53" s="96"/>
      <c r="O53" s="96"/>
      <c r="P53" s="96"/>
      <c r="Q53" s="96"/>
      <c r="R53" s="96"/>
      <c r="S53" s="96"/>
      <c r="T53" s="96"/>
      <c r="U53" s="96"/>
    </row>
    <row r="54" spans="1:21">
      <c r="A54" s="96"/>
      <c r="B54" s="96"/>
      <c r="C54" s="96"/>
      <c r="D54" s="18">
        <v>-224012</v>
      </c>
      <c r="E54" s="122" t="s">
        <v>4953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4954</v>
      </c>
      <c r="F55" s="114"/>
      <c r="G55" s="41"/>
      <c r="H55" s="96"/>
      <c r="I55" s="96"/>
      <c r="J55" s="96"/>
      <c r="K55" s="96"/>
      <c r="L55" s="96"/>
      <c r="M55" s="96"/>
      <c r="N55" s="96"/>
      <c r="O55" s="96"/>
      <c r="P55" s="96"/>
      <c r="Q55" s="96"/>
      <c r="R55" s="96"/>
      <c r="S55" s="96"/>
      <c r="T55" s="96"/>
      <c r="U55" s="96"/>
    </row>
    <row r="56" spans="1:21">
      <c r="A56" s="96"/>
      <c r="B56" s="96"/>
      <c r="C56" s="96"/>
      <c r="D56" s="18">
        <v>1465000</v>
      </c>
      <c r="E56" s="122" t="s">
        <v>4962</v>
      </c>
      <c r="F56" s="114"/>
      <c r="G56" s="41"/>
      <c r="H56" s="96"/>
      <c r="I56" s="96"/>
      <c r="J56" s="96"/>
      <c r="K56" s="96"/>
      <c r="L56" s="96"/>
      <c r="M56" s="96"/>
      <c r="N56" s="96"/>
      <c r="O56" s="96"/>
      <c r="P56" s="96"/>
      <c r="Q56" s="96"/>
      <c r="R56" s="96"/>
      <c r="S56" s="96"/>
      <c r="T56" s="96"/>
      <c r="U56" s="96"/>
    </row>
    <row r="57" spans="1:21">
      <c r="A57" s="96"/>
      <c r="B57" s="96"/>
      <c r="C57" s="96"/>
      <c r="D57" s="18">
        <v>2600000</v>
      </c>
      <c r="E57" s="122" t="s">
        <v>5000</v>
      </c>
      <c r="F57" s="114"/>
      <c r="G57" s="41"/>
      <c r="H57" s="96"/>
      <c r="I57" s="96"/>
      <c r="J57" s="96"/>
      <c r="K57" s="96"/>
      <c r="L57" s="96"/>
      <c r="M57" s="96"/>
      <c r="N57" s="96"/>
      <c r="O57" s="96"/>
      <c r="P57" s="96"/>
      <c r="Q57" s="96"/>
      <c r="R57" s="96"/>
      <c r="S57" s="96"/>
      <c r="T57" s="96"/>
      <c r="U57" s="96"/>
    </row>
    <row r="58" spans="1:21">
      <c r="A58" s="96"/>
      <c r="B58" s="96"/>
      <c r="C58" s="96"/>
      <c r="D58" s="18">
        <v>-1170000</v>
      </c>
      <c r="E58" s="122" t="s">
        <v>5012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5011</v>
      </c>
      <c r="F59" s="114"/>
      <c r="G59" s="96"/>
      <c r="H59" s="96"/>
      <c r="I59" s="96"/>
      <c r="J59" s="96"/>
      <c r="K59" s="96"/>
      <c r="L59" s="96"/>
      <c r="M59" s="96"/>
      <c r="N59" s="96"/>
      <c r="O59" s="96"/>
      <c r="P59" s="96"/>
      <c r="Q59" s="96"/>
      <c r="R59" s="96"/>
      <c r="S59" s="96"/>
      <c r="T59" s="96"/>
      <c r="U59" s="96"/>
    </row>
    <row r="60" spans="1:21">
      <c r="A60" s="96"/>
      <c r="B60" s="96"/>
      <c r="C60" s="96"/>
      <c r="D60" s="18">
        <v>360000</v>
      </c>
      <c r="E60" s="122" t="s">
        <v>5023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5051</v>
      </c>
      <c r="F61" s="96"/>
      <c r="G61" s="96"/>
      <c r="H61" s="96"/>
      <c r="I61" s="96"/>
      <c r="J61" s="96"/>
      <c r="K61" s="96"/>
      <c r="L61" s="96"/>
      <c r="M61" s="96"/>
      <c r="N61" s="96"/>
      <c r="O61" s="96"/>
      <c r="P61" s="96"/>
      <c r="Q61" s="96"/>
      <c r="R61" s="96"/>
      <c r="S61" s="96"/>
      <c r="T61" s="96"/>
      <c r="U61" s="96"/>
    </row>
    <row r="62" spans="1:21">
      <c r="A62" s="96"/>
      <c r="B62" s="96"/>
      <c r="C62" s="96"/>
      <c r="D62" s="18">
        <v>-550000</v>
      </c>
      <c r="E62" s="256" t="s">
        <v>5054</v>
      </c>
      <c r="F62" s="96"/>
      <c r="G62" s="96"/>
      <c r="H62" s="96"/>
      <c r="I62" s="96"/>
      <c r="J62" s="96"/>
      <c r="K62" s="96"/>
      <c r="L62" s="96"/>
      <c r="M62" s="96"/>
      <c r="N62" s="96"/>
      <c r="O62" s="96"/>
      <c r="P62" s="96"/>
      <c r="Q62" s="96"/>
      <c r="R62" s="96"/>
      <c r="S62" s="96"/>
      <c r="T62" s="96"/>
      <c r="U62" s="96"/>
    </row>
    <row r="63" spans="1:21">
      <c r="A63" s="96"/>
      <c r="B63" s="96"/>
      <c r="C63" s="96"/>
      <c r="D63" s="18">
        <v>-850000</v>
      </c>
      <c r="E63" s="256" t="s">
        <v>5063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5067</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5072</v>
      </c>
      <c r="F65" s="96"/>
      <c r="G65" s="96"/>
      <c r="H65" s="96"/>
      <c r="I65" s="96"/>
      <c r="J65" s="96"/>
      <c r="K65" s="96"/>
      <c r="L65" s="96"/>
      <c r="M65" s="96"/>
      <c r="N65" s="96"/>
      <c r="O65" s="96"/>
      <c r="P65" s="96"/>
      <c r="Q65" s="96"/>
      <c r="R65" s="96"/>
      <c r="S65" s="96"/>
      <c r="T65" s="96"/>
      <c r="U65" s="96"/>
    </row>
    <row r="66" spans="1:21">
      <c r="A66" s="96"/>
      <c r="B66" s="96"/>
      <c r="C66" s="96"/>
      <c r="D66" s="18">
        <v>-2290500</v>
      </c>
      <c r="E66" s="256" t="s">
        <v>5073</v>
      </c>
      <c r="F66" s="96"/>
      <c r="G66" s="96"/>
      <c r="H66" s="96"/>
      <c r="I66" s="96"/>
      <c r="J66" s="96"/>
      <c r="K66" s="96"/>
      <c r="L66" s="96"/>
      <c r="M66" s="96"/>
      <c r="N66" s="96"/>
      <c r="O66" s="96"/>
      <c r="P66" s="96"/>
      <c r="Q66" s="96"/>
      <c r="R66" s="96"/>
      <c r="S66" s="96"/>
      <c r="T66" s="96"/>
      <c r="U66" s="96"/>
    </row>
    <row r="67" spans="1:21">
      <c r="A67" s="96"/>
      <c r="B67" s="96"/>
      <c r="C67" s="96"/>
      <c r="D67" s="18">
        <v>1700000</v>
      </c>
      <c r="E67" s="256" t="s">
        <v>5088</v>
      </c>
      <c r="F67" s="96"/>
      <c r="G67" s="96"/>
      <c r="H67" s="96"/>
      <c r="I67" s="96"/>
      <c r="J67" s="96"/>
      <c r="K67" s="96"/>
      <c r="L67" s="96"/>
      <c r="M67" s="96"/>
      <c r="N67" s="96"/>
      <c r="O67" s="96"/>
      <c r="P67" s="96"/>
      <c r="Q67" s="96"/>
      <c r="R67" s="96"/>
      <c r="S67" s="96"/>
      <c r="T67" s="96"/>
      <c r="U67" s="96"/>
    </row>
    <row r="68" spans="1:21">
      <c r="A68" s="96"/>
      <c r="B68" s="96"/>
      <c r="C68" s="96"/>
      <c r="D68" s="18">
        <v>-150000</v>
      </c>
      <c r="E68" s="256" t="s">
        <v>5094</v>
      </c>
      <c r="F68" s="96"/>
      <c r="G68" s="96"/>
      <c r="H68" s="96"/>
      <c r="I68" s="96"/>
      <c r="J68" s="96"/>
      <c r="K68" s="96"/>
      <c r="L68" s="96"/>
      <c r="M68" s="96"/>
      <c r="N68" s="96"/>
      <c r="O68" s="96"/>
      <c r="P68" s="96"/>
      <c r="Q68" s="96"/>
      <c r="R68" s="96"/>
      <c r="S68" s="96"/>
      <c r="T68" s="96"/>
      <c r="U68" s="96"/>
    </row>
    <row r="69" spans="1:21">
      <c r="A69" s="96"/>
      <c r="B69" s="96"/>
      <c r="C69" s="96"/>
      <c r="D69" s="18">
        <v>-550000</v>
      </c>
      <c r="E69" s="256" t="s">
        <v>5101</v>
      </c>
      <c r="F69" s="96"/>
      <c r="G69" s="96"/>
      <c r="H69" s="96"/>
      <c r="I69" s="96"/>
      <c r="J69" s="96"/>
      <c r="K69" s="96"/>
      <c r="L69" s="96"/>
      <c r="M69" s="96"/>
      <c r="N69" s="96"/>
      <c r="O69" s="96"/>
      <c r="P69" s="96"/>
      <c r="Q69" s="96"/>
      <c r="R69" s="96"/>
      <c r="S69" s="96"/>
      <c r="T69" s="96"/>
      <c r="U69" s="96"/>
    </row>
    <row r="70" spans="1:21">
      <c r="A70" s="96"/>
      <c r="B70" s="96"/>
      <c r="C70" s="96"/>
      <c r="D70" s="18">
        <v>13350000</v>
      </c>
      <c r="E70" s="256" t="s">
        <v>5135</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4690</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4696</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4696</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4698</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4699</v>
      </c>
      <c r="B312" s="18">
        <v>-324747</v>
      </c>
      <c r="C312" s="18">
        <v>0</v>
      </c>
      <c r="D312" s="18">
        <f t="shared" si="18"/>
        <v>-324747</v>
      </c>
      <c r="E312" s="99" t="s">
        <v>4706</v>
      </c>
      <c r="F312" s="99">
        <v>3</v>
      </c>
      <c r="G312" s="36">
        <f t="shared" si="28"/>
        <v>44</v>
      </c>
      <c r="H312" s="99">
        <f t="shared" si="29"/>
        <v>0</v>
      </c>
      <c r="I312" s="99">
        <f t="shared" si="30"/>
        <v>-14288868</v>
      </c>
      <c r="J312" s="99">
        <f t="shared" si="31"/>
        <v>0</v>
      </c>
      <c r="K312" s="99">
        <f t="shared" si="32"/>
        <v>-14288868</v>
      </c>
      <c r="M312" t="s">
        <v>25</v>
      </c>
    </row>
    <row r="313" spans="1:13">
      <c r="A313" s="99" t="s">
        <v>4713</v>
      </c>
      <c r="B313" s="18">
        <v>-297992</v>
      </c>
      <c r="C313" s="18">
        <v>0</v>
      </c>
      <c r="D313" s="18">
        <f t="shared" si="18"/>
        <v>-297992</v>
      </c>
      <c r="E313" s="99" t="s">
        <v>4714</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4722</v>
      </c>
      <c r="B315" s="18">
        <v>-40000</v>
      </c>
      <c r="C315" s="18">
        <v>0</v>
      </c>
      <c r="D315" s="18">
        <f t="shared" si="18"/>
        <v>-40000</v>
      </c>
      <c r="E315" s="99" t="s">
        <v>4730</v>
      </c>
      <c r="F315" s="99">
        <v>4</v>
      </c>
      <c r="G315" s="36">
        <f t="shared" si="28"/>
        <v>38</v>
      </c>
      <c r="H315" s="99">
        <f t="shared" si="29"/>
        <v>0</v>
      </c>
      <c r="I315" s="99">
        <f t="shared" si="30"/>
        <v>-1520000</v>
      </c>
      <c r="J315" s="99">
        <f t="shared" si="31"/>
        <v>0</v>
      </c>
      <c r="K315" s="99">
        <f t="shared" si="32"/>
        <v>-1520000</v>
      </c>
    </row>
    <row r="316" spans="1:13">
      <c r="A316" s="99" t="s">
        <v>4735</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4755</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4763</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4763</v>
      </c>
      <c r="B319" s="18">
        <v>-1866154</v>
      </c>
      <c r="C319" s="18">
        <v>0</v>
      </c>
      <c r="D319" s="18">
        <f t="shared" si="18"/>
        <v>-1866154</v>
      </c>
      <c r="E319" s="19" t="s">
        <v>4769</v>
      </c>
      <c r="F319" s="99">
        <v>0</v>
      </c>
      <c r="G319" s="36">
        <f t="shared" si="28"/>
        <v>29</v>
      </c>
      <c r="H319" s="99">
        <f t="shared" si="29"/>
        <v>0</v>
      </c>
      <c r="I319" s="99">
        <f t="shared" si="30"/>
        <v>-54118466</v>
      </c>
      <c r="J319" s="99">
        <f t="shared" si="31"/>
        <v>0</v>
      </c>
      <c r="K319" s="99">
        <f t="shared" si="32"/>
        <v>-54118466</v>
      </c>
    </row>
    <row r="320" spans="1:13">
      <c r="A320" s="11" t="s">
        <v>4763</v>
      </c>
      <c r="B320" s="18">
        <v>-36600</v>
      </c>
      <c r="C320" s="18">
        <v>0</v>
      </c>
      <c r="D320" s="18">
        <f t="shared" si="18"/>
        <v>-36600</v>
      </c>
      <c r="E320" s="99" t="s">
        <v>4770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4771</v>
      </c>
      <c r="B321" s="18">
        <v>-492000</v>
      </c>
      <c r="C321" s="18">
        <v>0</v>
      </c>
      <c r="D321" s="18">
        <f t="shared" si="18"/>
        <v>-492000</v>
      </c>
      <c r="E321" s="99" t="s">
        <v>4772</v>
      </c>
      <c r="F321" s="99">
        <v>0</v>
      </c>
      <c r="G321" s="36">
        <f t="shared" si="33"/>
        <v>28</v>
      </c>
      <c r="H321" s="99">
        <f t="shared" si="34"/>
        <v>0</v>
      </c>
      <c r="I321" s="99">
        <f t="shared" si="35"/>
        <v>-13776000</v>
      </c>
      <c r="J321" s="99">
        <f t="shared" si="36"/>
        <v>0</v>
      </c>
      <c r="K321" s="99">
        <f t="shared" si="37"/>
        <v>-13776000</v>
      </c>
      <c r="M321" t="s">
        <v>25</v>
      </c>
    </row>
    <row r="322" spans="1:14">
      <c r="A322" s="99" t="s">
        <v>4771</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4771</v>
      </c>
      <c r="B323" s="18">
        <v>-40000</v>
      </c>
      <c r="C323" s="18">
        <v>0</v>
      </c>
      <c r="D323" s="18">
        <f t="shared" si="18"/>
        <v>-40000</v>
      </c>
      <c r="E323" s="99" t="s">
        <v>4774</v>
      </c>
      <c r="F323" s="99">
        <v>1</v>
      </c>
      <c r="G323" s="36">
        <f t="shared" si="33"/>
        <v>28</v>
      </c>
      <c r="H323" s="99">
        <f t="shared" si="34"/>
        <v>0</v>
      </c>
      <c r="I323" s="99">
        <f t="shared" si="35"/>
        <v>-1120000</v>
      </c>
      <c r="J323" s="99">
        <f t="shared" si="36"/>
        <v>0</v>
      </c>
      <c r="K323" s="99">
        <f t="shared" si="37"/>
        <v>-1120000</v>
      </c>
    </row>
    <row r="324" spans="1:14">
      <c r="A324" s="99" t="s">
        <v>4775</v>
      </c>
      <c r="B324" s="18">
        <v>-66000</v>
      </c>
      <c r="C324" s="18">
        <v>0</v>
      </c>
      <c r="D324" s="18">
        <f t="shared" si="18"/>
        <v>-66000</v>
      </c>
      <c r="E324" s="99" t="s">
        <v>4774</v>
      </c>
      <c r="F324" s="99">
        <v>1</v>
      </c>
      <c r="G324" s="36">
        <f t="shared" si="33"/>
        <v>27</v>
      </c>
      <c r="H324" s="99">
        <f t="shared" si="34"/>
        <v>0</v>
      </c>
      <c r="I324" s="99">
        <f t="shared" si="35"/>
        <v>-1782000</v>
      </c>
      <c r="J324" s="99">
        <f t="shared" si="36"/>
        <v>0</v>
      </c>
      <c r="K324" s="99">
        <f t="shared" si="37"/>
        <v>-1782000</v>
      </c>
    </row>
    <row r="325" spans="1:14">
      <c r="A325" s="99" t="s">
        <v>4776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4776</v>
      </c>
      <c r="B326" s="18">
        <v>-200500</v>
      </c>
      <c r="C326" s="18">
        <v>0</v>
      </c>
      <c r="D326" s="18">
        <f t="shared" si="18"/>
        <v>-200500</v>
      </c>
      <c r="E326" s="99" t="s">
        <v>4777</v>
      </c>
      <c r="F326" s="99">
        <v>2</v>
      </c>
      <c r="G326" s="36">
        <f t="shared" si="33"/>
        <v>26</v>
      </c>
      <c r="H326" s="99">
        <f t="shared" si="34"/>
        <v>0</v>
      </c>
      <c r="I326" s="99">
        <f t="shared" si="35"/>
        <v>-5213000</v>
      </c>
      <c r="J326" s="99">
        <f t="shared" si="36"/>
        <v>0</v>
      </c>
      <c r="K326" s="99">
        <f t="shared" si="37"/>
        <v>-5213000</v>
      </c>
      <c r="M326" t="s">
        <v>25</v>
      </c>
    </row>
    <row r="327" spans="1:14">
      <c r="A327" s="99" t="s">
        <v>4781</v>
      </c>
      <c r="B327" s="18">
        <v>1563000</v>
      </c>
      <c r="C327" s="18">
        <v>0</v>
      </c>
      <c r="D327" s="18">
        <f t="shared" si="18"/>
        <v>1563000</v>
      </c>
      <c r="E327" s="99" t="s">
        <v>4786</v>
      </c>
      <c r="F327" s="99">
        <v>0</v>
      </c>
      <c r="G327" s="36">
        <f t="shared" si="33"/>
        <v>24</v>
      </c>
      <c r="H327" s="99">
        <f t="shared" si="34"/>
        <v>1</v>
      </c>
      <c r="I327" s="99">
        <f t="shared" si="35"/>
        <v>35949000</v>
      </c>
      <c r="J327" s="99">
        <f t="shared" si="36"/>
        <v>0</v>
      </c>
      <c r="K327" s="99">
        <f t="shared" si="37"/>
        <v>35949000</v>
      </c>
    </row>
    <row r="328" spans="1:14">
      <c r="A328" s="99" t="s">
        <v>4781</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4795</v>
      </c>
      <c r="B329" s="18">
        <v>-20000</v>
      </c>
      <c r="C329" s="18">
        <v>0</v>
      </c>
      <c r="D329" s="18">
        <f t="shared" si="18"/>
        <v>-20000</v>
      </c>
      <c r="E329" s="99" t="s">
        <v>4799</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4810</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4815</v>
      </c>
      <c r="F331" s="99">
        <v>2</v>
      </c>
      <c r="G331" s="36">
        <f t="shared" si="33"/>
        <v>19</v>
      </c>
      <c r="H331" s="99">
        <f t="shared" si="34"/>
        <v>0</v>
      </c>
      <c r="I331" s="99">
        <f t="shared" si="35"/>
        <v>-15019500</v>
      </c>
      <c r="J331" s="99">
        <f t="shared" si="36"/>
        <v>0</v>
      </c>
      <c r="K331" s="99">
        <f t="shared" si="37"/>
        <v>-15019500</v>
      </c>
    </row>
    <row r="332" spans="1:14">
      <c r="A332" s="99" t="s">
        <v>4819</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4832</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4832</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4832</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4834</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4835</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4835</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4840</v>
      </c>
      <c r="B341" s="18">
        <v>433375</v>
      </c>
      <c r="C341" s="18">
        <v>0</v>
      </c>
      <c r="D341" s="18">
        <f t="shared" si="18"/>
        <v>433375</v>
      </c>
      <c r="E341" s="99" t="s">
        <v>4843</v>
      </c>
      <c r="F341" s="99">
        <v>1</v>
      </c>
      <c r="G341" s="36">
        <f t="shared" si="38"/>
        <v>11</v>
      </c>
      <c r="H341" s="99">
        <f t="shared" si="39"/>
        <v>1</v>
      </c>
      <c r="I341" s="99">
        <f t="shared" si="40"/>
        <v>4333750</v>
      </c>
      <c r="J341" s="99">
        <f t="shared" si="41"/>
        <v>0</v>
      </c>
      <c r="K341" s="99">
        <f t="shared" si="42"/>
        <v>4333750</v>
      </c>
      <c r="M341" t="s">
        <v>25</v>
      </c>
    </row>
    <row r="342" spans="1:13">
      <c r="A342" s="99" t="s">
        <v>4849</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4849</v>
      </c>
      <c r="B343" s="18">
        <v>-300000</v>
      </c>
      <c r="C343" s="18">
        <v>0</v>
      </c>
      <c r="D343" s="18">
        <f t="shared" si="18"/>
        <v>-300000</v>
      </c>
      <c r="E343" s="99" t="s">
        <v>4852</v>
      </c>
      <c r="F343" s="99">
        <v>0</v>
      </c>
      <c r="G343" s="36">
        <f t="shared" si="43"/>
        <v>10</v>
      </c>
      <c r="H343" s="99">
        <f t="shared" si="44"/>
        <v>0</v>
      </c>
      <c r="I343" s="99">
        <f t="shared" si="45"/>
        <v>-3000000</v>
      </c>
      <c r="J343" s="99">
        <f t="shared" si="46"/>
        <v>0</v>
      </c>
      <c r="K343" s="99">
        <f t="shared" si="47"/>
        <v>-3000000</v>
      </c>
    </row>
    <row r="344" spans="1:13">
      <c r="A344" s="99" t="s">
        <v>4849</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4855</v>
      </c>
      <c r="F345" s="99">
        <v>3</v>
      </c>
      <c r="G345" s="36">
        <f t="shared" si="43"/>
        <v>9</v>
      </c>
      <c r="H345" s="99">
        <f t="shared" si="44"/>
        <v>0</v>
      </c>
      <c r="I345" s="99">
        <f t="shared" si="45"/>
        <v>-12759543</v>
      </c>
      <c r="J345" s="99">
        <f t="shared" si="46"/>
        <v>0</v>
      </c>
      <c r="K345" s="99">
        <f t="shared" si="47"/>
        <v>-12759543</v>
      </c>
      <c r="L345" t="s">
        <v>25</v>
      </c>
    </row>
    <row r="346" spans="1:13">
      <c r="A346" s="99" t="s">
        <v>4861</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4858</v>
      </c>
      <c r="B347" s="18">
        <v>-960200</v>
      </c>
      <c r="C347" s="18">
        <v>0</v>
      </c>
      <c r="D347" s="18">
        <f t="shared" si="18"/>
        <v>-960200</v>
      </c>
      <c r="E347" s="99" t="s">
        <v>4862</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4722</v>
      </c>
      <c r="B74" s="113">
        <v>-38130</v>
      </c>
      <c r="C74" s="99" t="s">
        <v>1039</v>
      </c>
      <c r="D74" s="99">
        <v>1</v>
      </c>
      <c r="E74" s="99">
        <f t="shared" si="3"/>
        <v>2</v>
      </c>
      <c r="F74" s="99">
        <f t="shared" si="1"/>
        <v>0</v>
      </c>
      <c r="G74" s="99">
        <f t="shared" si="2"/>
        <v>-76260</v>
      </c>
      <c r="I74" t="s">
        <v>25</v>
      </c>
    </row>
    <row r="75" spans="1:9">
      <c r="A75" s="99" t="s">
        <v>4726</v>
      </c>
      <c r="B75" s="113">
        <v>-20000</v>
      </c>
      <c r="C75" s="99" t="s">
        <v>4731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4932</v>
      </c>
      <c r="B274" s="113">
        <v>3500000</v>
      </c>
      <c r="C274" s="99">
        <v>0</v>
      </c>
      <c r="D274" s="99">
        <f t="shared" si="8"/>
        <v>32</v>
      </c>
      <c r="E274" s="99">
        <f t="shared" si="9"/>
        <v>0</v>
      </c>
      <c r="F274" s="99">
        <f t="shared" si="10"/>
        <v>-7168384</v>
      </c>
      <c r="G274" s="99"/>
    </row>
    <row r="275" spans="1:11">
      <c r="A275" s="99" t="s">
        <v>4932</v>
      </c>
      <c r="B275" s="113">
        <v>-224012</v>
      </c>
      <c r="C275" s="99">
        <v>2</v>
      </c>
      <c r="D275" s="99">
        <f t="shared" si="8"/>
        <v>32</v>
      </c>
      <c r="E275" s="99">
        <f t="shared" si="9"/>
        <v>0</v>
      </c>
      <c r="F275" s="99">
        <f t="shared" si="10"/>
        <v>-3349472</v>
      </c>
      <c r="G275" s="99"/>
    </row>
    <row r="276" spans="1:11">
      <c r="A276" s="99" t="s">
        <v>4955</v>
      </c>
      <c r="B276" s="113">
        <v>-104671</v>
      </c>
      <c r="C276" s="99">
        <v>1</v>
      </c>
      <c r="D276" s="99">
        <f t="shared" ref="D276:D280" si="11">D277+C276</f>
        <v>30</v>
      </c>
      <c r="E276" s="99">
        <f t="shared" ref="E276:E280" si="12">IF(B277&gt;0,1,0)</f>
        <v>0</v>
      </c>
      <c r="F276" s="99">
        <f t="shared" ref="F276:F280" si="13">B277*(D276-E276)</f>
        <v>-8160000</v>
      </c>
      <c r="G276" s="99"/>
    </row>
    <row r="277" spans="1:11">
      <c r="A277" s="99" t="s">
        <v>4957</v>
      </c>
      <c r="B277" s="113">
        <v>-272000</v>
      </c>
      <c r="C277" s="99">
        <v>1</v>
      </c>
      <c r="D277" s="99">
        <f t="shared" si="11"/>
        <v>29</v>
      </c>
      <c r="E277" s="99">
        <f t="shared" si="12"/>
        <v>0</v>
      </c>
      <c r="F277" s="99">
        <f t="shared" si="13"/>
        <v>-74387262</v>
      </c>
      <c r="G277" s="99"/>
    </row>
    <row r="278" spans="1:11">
      <c r="A278" s="99" t="s">
        <v>4959</v>
      </c>
      <c r="B278" s="113">
        <v>-2565078</v>
      </c>
      <c r="C278" s="99">
        <v>2</v>
      </c>
      <c r="D278" s="99">
        <f t="shared" si="11"/>
        <v>28</v>
      </c>
      <c r="E278" s="99">
        <f t="shared" si="12"/>
        <v>0</v>
      </c>
      <c r="F278" s="99">
        <f t="shared" si="13"/>
        <v>-5978000</v>
      </c>
      <c r="G278" s="99"/>
    </row>
    <row r="279" spans="1:11">
      <c r="A279" s="99" t="s">
        <v>4904</v>
      </c>
      <c r="B279" s="113">
        <v>-213500</v>
      </c>
      <c r="C279" s="99">
        <v>1</v>
      </c>
      <c r="D279" s="99">
        <f t="shared" si="11"/>
        <v>26</v>
      </c>
      <c r="E279" s="99">
        <f t="shared" si="12"/>
        <v>0</v>
      </c>
      <c r="F279" s="99">
        <f t="shared" si="13"/>
        <v>-99060</v>
      </c>
      <c r="G279" s="99"/>
    </row>
    <row r="280" spans="1:11">
      <c r="A280" s="99" t="s">
        <v>4976</v>
      </c>
      <c r="B280" s="113">
        <v>-3810</v>
      </c>
      <c r="C280" s="99">
        <v>1</v>
      </c>
      <c r="D280" s="99">
        <f t="shared" si="11"/>
        <v>25</v>
      </c>
      <c r="E280" s="99">
        <f t="shared" si="12"/>
        <v>0</v>
      </c>
      <c r="F280" s="99">
        <f t="shared" si="13"/>
        <v>-3015800</v>
      </c>
      <c r="G280" s="99"/>
      <c r="J280" t="s">
        <v>25</v>
      </c>
    </row>
    <row r="281" spans="1:11">
      <c r="A281" s="99" t="s">
        <v>4977</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4965</v>
      </c>
      <c r="B282" s="113">
        <v>80000</v>
      </c>
      <c r="C282" s="99">
        <v>0</v>
      </c>
      <c r="D282" s="99">
        <f t="shared" si="14"/>
        <v>23</v>
      </c>
      <c r="E282" s="99">
        <f t="shared" si="15"/>
        <v>0</v>
      </c>
      <c r="F282" s="99">
        <f t="shared" si="16"/>
        <v>-57500</v>
      </c>
      <c r="G282" s="99"/>
    </row>
    <row r="283" spans="1:11">
      <c r="A283" s="99" t="s">
        <v>4965</v>
      </c>
      <c r="B283" s="113">
        <v>-2500</v>
      </c>
      <c r="C283" s="99">
        <v>1</v>
      </c>
      <c r="D283" s="99">
        <f t="shared" si="14"/>
        <v>23</v>
      </c>
      <c r="E283" s="99">
        <f t="shared" si="15"/>
        <v>0</v>
      </c>
      <c r="F283" s="99">
        <f t="shared" si="16"/>
        <v>-690000</v>
      </c>
      <c r="G283" s="99"/>
      <c r="J283" s="114">
        <f>B315-498804</f>
        <v>-140500</v>
      </c>
    </row>
    <row r="284" spans="1:11">
      <c r="A284" s="99" t="s">
        <v>4970</v>
      </c>
      <c r="B284" s="113">
        <v>-30000</v>
      </c>
      <c r="C284" s="99">
        <v>1</v>
      </c>
      <c r="D284" s="99">
        <f t="shared" si="14"/>
        <v>22</v>
      </c>
      <c r="E284" s="99">
        <f t="shared" si="15"/>
        <v>0</v>
      </c>
      <c r="F284" s="99">
        <f t="shared" si="16"/>
        <v>-435600</v>
      </c>
      <c r="G284" s="99"/>
    </row>
    <row r="285" spans="1:11">
      <c r="A285" s="99" t="s">
        <v>4978</v>
      </c>
      <c r="B285" s="113">
        <v>-19800</v>
      </c>
      <c r="C285" s="99">
        <v>1</v>
      </c>
      <c r="D285" s="99">
        <f t="shared" si="14"/>
        <v>21</v>
      </c>
      <c r="E285" s="99">
        <f t="shared" si="15"/>
        <v>1</v>
      </c>
      <c r="F285" s="99">
        <f t="shared" si="16"/>
        <v>18800000</v>
      </c>
      <c r="G285" s="99"/>
      <c r="K285" t="s">
        <v>25</v>
      </c>
    </row>
    <row r="286" spans="1:11">
      <c r="A286" s="99" t="s">
        <v>4969</v>
      </c>
      <c r="B286" s="113">
        <v>940000</v>
      </c>
      <c r="C286" s="99">
        <v>0</v>
      </c>
      <c r="D286" s="99">
        <f t="shared" si="14"/>
        <v>20</v>
      </c>
      <c r="E286" s="99">
        <f t="shared" si="15"/>
        <v>0</v>
      </c>
      <c r="F286" s="99">
        <f t="shared" si="16"/>
        <v>-4020000</v>
      </c>
      <c r="G286" s="99"/>
    </row>
    <row r="287" spans="1:11">
      <c r="A287" s="99" t="s">
        <v>4969</v>
      </c>
      <c r="B287" s="113">
        <v>-201000</v>
      </c>
      <c r="C287" s="99">
        <v>1</v>
      </c>
      <c r="D287" s="99">
        <f t="shared" si="14"/>
        <v>20</v>
      </c>
      <c r="E287" s="99">
        <f t="shared" si="15"/>
        <v>0</v>
      </c>
      <c r="F287" s="99">
        <f t="shared" si="16"/>
        <v>-6418600</v>
      </c>
      <c r="G287" s="99"/>
    </row>
    <row r="288" spans="1:11">
      <c r="A288" s="99" t="s">
        <v>4974</v>
      </c>
      <c r="B288" s="113">
        <v>-320930</v>
      </c>
      <c r="C288" s="99">
        <v>3</v>
      </c>
      <c r="D288" s="99">
        <f t="shared" si="14"/>
        <v>19</v>
      </c>
      <c r="E288" s="99">
        <f t="shared" si="15"/>
        <v>0</v>
      </c>
      <c r="F288" s="99">
        <f t="shared" si="16"/>
        <v>-7600000</v>
      </c>
      <c r="G288" s="99"/>
    </row>
    <row r="289" spans="1:10">
      <c r="A289" s="99" t="s">
        <v>4975</v>
      </c>
      <c r="B289" s="113">
        <v>-400000</v>
      </c>
      <c r="C289" s="99">
        <v>1</v>
      </c>
      <c r="D289" s="99">
        <f t="shared" ref="D289:D313" si="17">D290+C289</f>
        <v>16</v>
      </c>
      <c r="E289" s="99">
        <f t="shared" ref="E289:E313" si="18">IF(B290&gt;0,1,0)</f>
        <v>0</v>
      </c>
      <c r="F289" s="99">
        <f t="shared" ref="F289:F313" si="19">B290*(D289-E289)</f>
        <v>-264000</v>
      </c>
      <c r="G289" s="99"/>
    </row>
    <row r="290" spans="1:10">
      <c r="A290" s="99" t="s">
        <v>4982</v>
      </c>
      <c r="B290" s="113">
        <v>-16500</v>
      </c>
      <c r="C290" s="99">
        <v>11</v>
      </c>
      <c r="D290" s="99">
        <f t="shared" si="17"/>
        <v>15</v>
      </c>
      <c r="E290" s="99">
        <f t="shared" si="18"/>
        <v>1</v>
      </c>
      <c r="F290" s="99">
        <f t="shared" si="19"/>
        <v>36400000</v>
      </c>
      <c r="G290" s="99"/>
    </row>
    <row r="291" spans="1:10">
      <c r="A291" s="99" t="s">
        <v>5005</v>
      </c>
      <c r="B291" s="113">
        <v>2600000</v>
      </c>
      <c r="C291" s="99">
        <v>2</v>
      </c>
      <c r="D291" s="99">
        <f t="shared" si="17"/>
        <v>4</v>
      </c>
      <c r="E291" s="99">
        <f t="shared" si="18"/>
        <v>0</v>
      </c>
      <c r="F291" s="99">
        <f t="shared" si="19"/>
        <v>-4680000</v>
      </c>
      <c r="G291" s="99"/>
      <c r="I291" t="s">
        <v>25</v>
      </c>
    </row>
    <row r="292" spans="1:10">
      <c r="A292" s="99" t="s">
        <v>5006</v>
      </c>
      <c r="B292" s="113">
        <v>-1170000</v>
      </c>
      <c r="C292" s="99">
        <v>0</v>
      </c>
      <c r="D292" s="99">
        <f t="shared" si="17"/>
        <v>2</v>
      </c>
      <c r="E292" s="99">
        <f t="shared" si="18"/>
        <v>0</v>
      </c>
      <c r="F292" s="99">
        <f t="shared" si="19"/>
        <v>-18000</v>
      </c>
      <c r="G292" s="99" t="s">
        <v>5007</v>
      </c>
      <c r="J292" t="s">
        <v>25</v>
      </c>
    </row>
    <row r="293" spans="1:10">
      <c r="A293" s="99" t="s">
        <v>5006</v>
      </c>
      <c r="B293" s="113">
        <v>-9000</v>
      </c>
      <c r="C293" s="99">
        <v>1</v>
      </c>
      <c r="D293" s="99">
        <f t="shared" si="17"/>
        <v>2</v>
      </c>
      <c r="E293" s="99">
        <f t="shared" si="18"/>
        <v>0</v>
      </c>
      <c r="F293" s="99">
        <f t="shared" si="19"/>
        <v>-2290000</v>
      </c>
      <c r="G293" s="99"/>
    </row>
    <row r="294" spans="1:10">
      <c r="A294" s="99" t="s">
        <v>5009</v>
      </c>
      <c r="B294" s="113">
        <v>-1145000</v>
      </c>
      <c r="C294" s="99">
        <v>1</v>
      </c>
      <c r="D294" s="99">
        <f t="shared" si="17"/>
        <v>1</v>
      </c>
      <c r="E294" s="99">
        <f t="shared" si="18"/>
        <v>0</v>
      </c>
      <c r="F294" s="99">
        <f t="shared" si="19"/>
        <v>0</v>
      </c>
      <c r="G294" s="99" t="s">
        <v>5010</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C1" zoomScaleNormal="100" workbookViewId="0">
      <pane ySplit="1" topLeftCell="A2" activePane="bottomLeft" state="frozen"/>
      <selection pane="bottomLeft" activeCell="K29" sqref="K2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4739</v>
      </c>
      <c r="L15">
        <v>451474</v>
      </c>
      <c r="M15" s="246" t="s">
        <v>4907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4857</v>
      </c>
      <c r="B193" s="38">
        <v>-25000</v>
      </c>
      <c r="C193" s="11" t="s">
        <v>4864</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P160" zoomScale="90" zoomScaleNormal="90" workbookViewId="0">
      <selection activeCell="Q176" sqref="Q17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4806</v>
      </c>
      <c r="AT10" s="73" t="s">
        <v>4809</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4828</v>
      </c>
      <c r="AT11" s="73" t="s">
        <v>4829</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4880</v>
      </c>
      <c r="AT12" s="73" t="s">
        <v>4881</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5006</v>
      </c>
      <c r="AT13" s="73" t="s">
        <v>5008</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5009</v>
      </c>
      <c r="AT14" s="73" t="s">
        <v>5013</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5042</v>
      </c>
      <c r="AT15" s="73" t="s">
        <v>5041</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5045</v>
      </c>
      <c r="AT16" s="213" t="s">
        <v>5047</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5048</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14</v>
      </c>
      <c r="O20" s="99" t="s">
        <v>937</v>
      </c>
      <c r="P20" s="99" t="s">
        <v>3929</v>
      </c>
      <c r="Q20" s="169">
        <v>9268987</v>
      </c>
      <c r="R20" s="168" t="s">
        <v>4172</v>
      </c>
      <c r="S20" s="191">
        <f>S89</f>
        <v>298</v>
      </c>
      <c r="T20" s="168" t="s">
        <v>4308</v>
      </c>
      <c r="U20" s="168">
        <v>192.1</v>
      </c>
      <c r="V20" s="168">
        <f t="shared" ref="V20:V54" si="6">U20*(1+$R$85+$Q$15*S20/36500)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637407617.10593414</v>
      </c>
      <c r="M21" s="168" t="s">
        <v>4300</v>
      </c>
      <c r="N21" s="113">
        <f t="shared" ref="N21:N23" si="9">O21*P21</f>
        <v>376566949.5</v>
      </c>
      <c r="O21" s="99">
        <v>1625235</v>
      </c>
      <c r="P21" s="185">
        <f>P45</f>
        <v>231.7</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98'!D73</f>
        <v>-23888909</v>
      </c>
      <c r="M22" s="213" t="s">
        <v>4407</v>
      </c>
      <c r="N22" s="113">
        <f t="shared" si="9"/>
        <v>112921036.8</v>
      </c>
      <c r="O22" s="99">
        <v>161408</v>
      </c>
      <c r="P22" s="185">
        <f>P43</f>
        <v>699.6</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5126</v>
      </c>
      <c r="N23" s="113">
        <f t="shared" si="9"/>
        <v>44905.200000000004</v>
      </c>
      <c r="O23" s="99">
        <v>92</v>
      </c>
      <c r="P23" s="185">
        <f>P44</f>
        <v>488.1</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561726785.10593414</v>
      </c>
      <c r="G24" s="95">
        <f t="shared" si="0"/>
        <v>-281420439.72399551</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1364919.6</v>
      </c>
      <c r="O26" s="69">
        <v>1951</v>
      </c>
      <c r="P26" s="99">
        <f>P43</f>
        <v>699.6</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5126</v>
      </c>
      <c r="N27" s="113">
        <f t="shared" si="13"/>
        <v>44905.200000000004</v>
      </c>
      <c r="O27" s="69">
        <v>92</v>
      </c>
      <c r="P27" s="99">
        <f>P44</f>
        <v>488.1</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80618161.399999991</v>
      </c>
      <c r="O28" s="69">
        <v>347942</v>
      </c>
      <c r="P28" s="99">
        <f>P45</f>
        <v>231.7</v>
      </c>
      <c r="Q28" s="169">
        <v>17953742</v>
      </c>
      <c r="R28" s="213" t="s">
        <v>3684</v>
      </c>
      <c r="S28" s="197">
        <f>S27-15</f>
        <v>151</v>
      </c>
      <c r="T28" s="213" t="s">
        <v>4721</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4722</v>
      </c>
      <c r="S29" s="197">
        <f>S28-1</f>
        <v>150</v>
      </c>
      <c r="T29" s="213" t="s">
        <v>4723</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4722</v>
      </c>
      <c r="S30" s="197">
        <f>S29</f>
        <v>150</v>
      </c>
      <c r="T30" s="213" t="s">
        <v>4724</v>
      </c>
      <c r="U30" s="213">
        <v>168.8</v>
      </c>
      <c r="V30" s="213">
        <f t="shared" si="6"/>
        <v>190.78932164383565</v>
      </c>
      <c r="W30" s="32">
        <f t="shared" ref="W30:W54" si="14">V30*(1+$W$19/100)</f>
        <v>194.60510807671236</v>
      </c>
      <c r="X30" s="32">
        <f t="shared" ref="X30:X54" si="15">V30*(1+$X$19/100)</f>
        <v>198.42089450958909</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-S153</f>
        <v>-637407617.10593414</v>
      </c>
      <c r="O31" s="96" t="s">
        <v>25</v>
      </c>
      <c r="P31" s="96" t="s">
        <v>25</v>
      </c>
      <c r="Q31" s="169">
        <v>15499033</v>
      </c>
      <c r="R31" s="213" t="s">
        <v>4740</v>
      </c>
      <c r="S31" s="197">
        <f>S30-6</f>
        <v>144</v>
      </c>
      <c r="T31" s="213" t="s">
        <v>4744</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4748</v>
      </c>
      <c r="S32" s="197">
        <f>S31-1</f>
        <v>143</v>
      </c>
      <c r="T32" s="213" t="s">
        <v>4753</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4849</v>
      </c>
      <c r="S33" s="197">
        <f>S32-21</f>
        <v>122</v>
      </c>
      <c r="T33" s="213" t="s">
        <v>4853</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5057</v>
      </c>
      <c r="L34" s="117">
        <v>-47500000</v>
      </c>
      <c r="M34" s="73"/>
      <c r="N34" s="113"/>
      <c r="O34" s="96" t="s">
        <v>25</v>
      </c>
      <c r="P34" s="96" t="s">
        <v>25</v>
      </c>
      <c r="Q34" s="169">
        <v>164707</v>
      </c>
      <c r="R34" s="213" t="s">
        <v>4900</v>
      </c>
      <c r="S34" s="197">
        <f>S33-28</f>
        <v>94</v>
      </c>
      <c r="T34" s="213" t="s">
        <v>4901</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1086</v>
      </c>
      <c r="N35" s="113">
        <f>30*P46</f>
        <v>12072000</v>
      </c>
      <c r="O35" s="96"/>
      <c r="P35" s="96" t="s">
        <v>25</v>
      </c>
      <c r="Q35" s="169">
        <v>1204691</v>
      </c>
      <c r="R35" s="213" t="s">
        <v>4965</v>
      </c>
      <c r="S35" s="197">
        <f>S34-20</f>
        <v>74</v>
      </c>
      <c r="T35" s="213" t="s">
        <v>4966</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5055</v>
      </c>
      <c r="N36" s="113">
        <v>-18000000</v>
      </c>
      <c r="O36" s="244" t="s">
        <v>25</v>
      </c>
      <c r="P36" s="114"/>
      <c r="Q36" s="169">
        <v>15011877</v>
      </c>
      <c r="R36" s="213" t="s">
        <v>4969</v>
      </c>
      <c r="S36" s="197">
        <f>S35-3</f>
        <v>71</v>
      </c>
      <c r="T36" s="213" t="s">
        <v>4973</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5056</v>
      </c>
      <c r="N37" s="113">
        <v>-47000000</v>
      </c>
      <c r="O37" s="96" t="s">
        <v>25</v>
      </c>
      <c r="P37" s="96" t="s">
        <v>25</v>
      </c>
      <c r="Q37" s="169">
        <v>3098904</v>
      </c>
      <c r="R37" s="213" t="s">
        <v>4982</v>
      </c>
      <c r="S37" s="197">
        <f>S36-5</f>
        <v>66</v>
      </c>
      <c r="T37" s="213" t="s">
        <v>4984</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4982</v>
      </c>
      <c r="S38" s="197">
        <f>S37</f>
        <v>66</v>
      </c>
      <c r="T38" s="213" t="s">
        <v>4985</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125</v>
      </c>
      <c r="P39" t="s">
        <v>25</v>
      </c>
      <c r="Q39" s="169">
        <v>100562</v>
      </c>
      <c r="R39" s="213" t="s">
        <v>4991</v>
      </c>
      <c r="S39" s="197">
        <f>S38-6</f>
        <v>60</v>
      </c>
      <c r="T39" s="213" t="s">
        <v>4992</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4" t="s">
        <v>5092</v>
      </c>
      <c r="L40" s="117">
        <v>-9795000</v>
      </c>
      <c r="M40" s="168"/>
      <c r="N40" s="113"/>
      <c r="O40" s="99"/>
      <c r="P40" s="99"/>
      <c r="Q40" s="169">
        <v>198647697</v>
      </c>
      <c r="R40" s="213" t="s">
        <v>4995</v>
      </c>
      <c r="S40" s="197">
        <f>S39-2</f>
        <v>58</v>
      </c>
      <c r="T40" s="213" t="s">
        <v>5043</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5107</v>
      </c>
      <c r="L41" s="117">
        <v>-5770000</v>
      </c>
      <c r="M41" s="21" t="s">
        <v>4563</v>
      </c>
      <c r="N41" s="117">
        <f t="shared" ref="N41:N46" si="16">O41*P41</f>
        <v>70255</v>
      </c>
      <c r="O41" s="69">
        <v>50</v>
      </c>
      <c r="P41" s="69">
        <v>1405.1</v>
      </c>
      <c r="Q41" s="169">
        <v>118852</v>
      </c>
      <c r="R41" s="213" t="s">
        <v>5024</v>
      </c>
      <c r="S41" s="197">
        <f>S40-12</f>
        <v>46</v>
      </c>
      <c r="T41" s="213" t="s">
        <v>5025</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t="s">
        <v>5145</v>
      </c>
      <c r="L42" s="117">
        <v>5000000</v>
      </c>
      <c r="M42" s="21" t="s">
        <v>4389</v>
      </c>
      <c r="N42" s="117">
        <f t="shared" si="16"/>
        <v>0</v>
      </c>
      <c r="O42" s="69">
        <v>0</v>
      </c>
      <c r="P42" s="69">
        <v>4000</v>
      </c>
      <c r="Q42" s="169">
        <v>9986627</v>
      </c>
      <c r="R42" s="213" t="s">
        <v>5045</v>
      </c>
      <c r="S42" s="197">
        <f>S41-9</f>
        <v>37</v>
      </c>
      <c r="T42" s="213" t="s">
        <v>5050</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t="s">
        <v>5161</v>
      </c>
      <c r="L43" s="117">
        <v>-200000</v>
      </c>
      <c r="M43" s="19" t="s">
        <v>4407</v>
      </c>
      <c r="N43" s="117">
        <f t="shared" si="16"/>
        <v>132292261.2</v>
      </c>
      <c r="O43" s="69">
        <v>189097</v>
      </c>
      <c r="P43" s="69">
        <v>699.6</v>
      </c>
      <c r="Q43" s="169">
        <v>499908</v>
      </c>
      <c r="R43" s="213" t="s">
        <v>5053</v>
      </c>
      <c r="S43" s="197">
        <f>S42-1</f>
        <v>36</v>
      </c>
      <c r="T43" s="213" t="s">
        <v>5058</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5126</v>
      </c>
      <c r="N44" s="117">
        <f t="shared" si="16"/>
        <v>44905.200000000004</v>
      </c>
      <c r="O44" s="69">
        <v>92</v>
      </c>
      <c r="P44" s="69">
        <v>488.1</v>
      </c>
      <c r="Q44" s="169">
        <v>850188</v>
      </c>
      <c r="R44" s="213" t="s">
        <v>5061</v>
      </c>
      <c r="S44" s="197">
        <f>S43-1</f>
        <v>35</v>
      </c>
      <c r="T44" s="213" t="s">
        <v>5062</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56"/>
      <c r="L45" s="117"/>
      <c r="M45" s="19" t="s">
        <v>4179</v>
      </c>
      <c r="N45" s="113">
        <f t="shared" si="16"/>
        <v>641315942.39999998</v>
      </c>
      <c r="O45" s="99">
        <v>2767872</v>
      </c>
      <c r="P45" s="99">
        <v>231.7</v>
      </c>
      <c r="Q45" s="169">
        <v>119890</v>
      </c>
      <c r="R45" s="213" t="s">
        <v>5075</v>
      </c>
      <c r="S45" s="197">
        <f>S44-6</f>
        <v>29</v>
      </c>
      <c r="T45" s="213" t="s">
        <v>5077</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402400</v>
      </c>
      <c r="Q46" s="169">
        <v>102858</v>
      </c>
      <c r="R46" s="213" t="s">
        <v>5095</v>
      </c>
      <c r="S46" s="197">
        <f>S45-6</f>
        <v>23</v>
      </c>
      <c r="T46" s="213" t="s">
        <v>5098</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73"/>
      <c r="N47" s="117"/>
      <c r="O47" s="122"/>
      <c r="P47" s="122"/>
      <c r="Q47" s="169">
        <v>1324444</v>
      </c>
      <c r="R47" s="213" t="s">
        <v>5095</v>
      </c>
      <c r="S47" s="197">
        <f>S46</f>
        <v>23</v>
      </c>
      <c r="T47" s="213" t="s">
        <v>5099</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1152</v>
      </c>
      <c r="N48" s="117">
        <v>14908</v>
      </c>
      <c r="O48" s="96"/>
      <c r="P48" t="s">
        <v>25</v>
      </c>
      <c r="Q48" s="169">
        <v>9991144</v>
      </c>
      <c r="R48" s="213" t="s">
        <v>5103</v>
      </c>
      <c r="S48" s="197">
        <f>S47-2</f>
        <v>21</v>
      </c>
      <c r="T48" s="213" t="s">
        <v>5105</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99"/>
      <c r="M49" s="168" t="s">
        <v>1153</v>
      </c>
      <c r="N49" s="117">
        <v>5282</v>
      </c>
      <c r="O49" s="96" t="s">
        <v>25</v>
      </c>
      <c r="P49" t="s">
        <v>25</v>
      </c>
      <c r="Q49" s="169">
        <v>29111</v>
      </c>
      <c r="R49" s="213" t="s">
        <v>5123</v>
      </c>
      <c r="S49" s="197">
        <f>S48-7</f>
        <v>14</v>
      </c>
      <c r="T49" s="213" t="s">
        <v>5127</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O50" s="115"/>
      <c r="P50" s="115"/>
      <c r="Q50" s="169">
        <v>241238</v>
      </c>
      <c r="R50" s="213" t="s">
        <v>5139</v>
      </c>
      <c r="S50" s="197">
        <f>S49-10</f>
        <v>4</v>
      </c>
      <c r="T50" s="213" t="s">
        <v>5141</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t="s">
        <v>25</v>
      </c>
      <c r="L51" s="117"/>
      <c r="M51" s="168"/>
      <c r="N51" s="113"/>
      <c r="O51" s="99"/>
      <c r="P51" s="99"/>
      <c r="Q51" s="169">
        <v>23124984</v>
      </c>
      <c r="R51" s="213" t="s">
        <v>5150</v>
      </c>
      <c r="S51" s="197">
        <f>S50-2</f>
        <v>2</v>
      </c>
      <c r="T51" s="213" t="s">
        <v>5153</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5154</v>
      </c>
      <c r="S52" s="197">
        <f>S51-1</f>
        <v>1</v>
      </c>
      <c r="T52" s="213" t="s">
        <v>5156</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5148</v>
      </c>
      <c r="S53" s="197">
        <f>S52-1</f>
        <v>0</v>
      </c>
      <c r="T53" s="213" t="s">
        <v>5158</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-S154</f>
        <v>-19730117.26202653</v>
      </c>
      <c r="Q54" s="169"/>
      <c r="R54" s="168"/>
      <c r="S54" s="168"/>
      <c r="T54" s="168"/>
      <c r="U54" s="168"/>
      <c r="V54" s="213">
        <f t="shared" si="6"/>
        <v>0</v>
      </c>
      <c r="W54" s="32">
        <f t="shared" si="14"/>
        <v>0</v>
      </c>
      <c r="X54" s="32">
        <f t="shared" si="15"/>
        <v>0</v>
      </c>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f>SUM(N21:N23)-SUM(Q20:Q54)</f>
        <v>75635199.5</v>
      </c>
      <c r="R55" s="168"/>
      <c r="S55" s="168" t="s">
        <v>25</v>
      </c>
      <c r="T55" s="168"/>
      <c r="U55" s="168"/>
      <c r="V55" s="168"/>
      <c r="W55" s="32"/>
      <c r="X55" s="32"/>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R56" s="115"/>
      <c r="S56" s="115" t="s">
        <v>25</v>
      </c>
      <c r="T56" s="122" t="s">
        <v>25</v>
      </c>
      <c r="U56" s="115" t="s">
        <v>25</v>
      </c>
      <c r="V56" s="115" t="s">
        <v>25</v>
      </c>
      <c r="W56" s="194" t="s">
        <v>25</v>
      </c>
      <c r="X56" s="194"/>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SUM(L16:L43)</f>
        <v>561726785.10593414</v>
      </c>
      <c r="M57" s="168"/>
      <c r="N57" s="113">
        <f>SUM(N16:N56)</f>
        <v>640115715.13203931</v>
      </c>
      <c r="Q57" s="96"/>
      <c r="R57" s="115"/>
      <c r="S57" s="115"/>
      <c r="T57" s="115" t="s">
        <v>25</v>
      </c>
      <c r="U57" s="115" t="s">
        <v>25</v>
      </c>
      <c r="V57" s="115"/>
      <c r="W57" s="194"/>
      <c r="X57" s="194" t="s">
        <v>25</v>
      </c>
      <c r="AH57" s="99">
        <v>38</v>
      </c>
      <c r="AI57" s="113" t="s">
        <v>3997</v>
      </c>
      <c r="AJ57" s="113">
        <v>4100000</v>
      </c>
      <c r="AK57" s="99">
        <v>1</v>
      </c>
      <c r="AL57" s="99">
        <f t="shared" si="10"/>
        <v>335</v>
      </c>
      <c r="AM57" s="113">
        <f t="shared" si="11"/>
        <v>1373500000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168" t="s">
        <v>657</v>
      </c>
      <c r="R58" s="168"/>
      <c r="S58" s="168"/>
      <c r="T58" s="168"/>
      <c r="U58" s="168"/>
      <c r="V58" s="168"/>
      <c r="W58" s="32"/>
      <c r="X58" s="32"/>
      <c r="Y58" t="s">
        <v>25</v>
      </c>
      <c r="AH58" s="99">
        <v>39</v>
      </c>
      <c r="AI58" s="113" t="s">
        <v>4006</v>
      </c>
      <c r="AJ58" s="113">
        <v>790000</v>
      </c>
      <c r="AK58" s="99">
        <v>15</v>
      </c>
      <c r="AL58" s="99">
        <f t="shared" si="10"/>
        <v>334</v>
      </c>
      <c r="AM58" s="113">
        <f t="shared" si="11"/>
        <v>263860000</v>
      </c>
      <c r="AN58" s="99"/>
    </row>
    <row r="59" spans="1:45" ht="30">
      <c r="A59" s="63">
        <v>1400</v>
      </c>
      <c r="B59" s="11">
        <v>57</v>
      </c>
      <c r="C59" s="50">
        <f t="shared" si="4"/>
        <v>5655009.1360314842</v>
      </c>
      <c r="D59" s="3">
        <f t="shared" si="5"/>
        <v>4593726.5995433833</v>
      </c>
      <c r="E59" s="3">
        <f t="shared" si="12"/>
        <v>604717069.49413705</v>
      </c>
      <c r="F59" s="3"/>
      <c r="G59" s="11"/>
      <c r="H59" s="11"/>
      <c r="K59" s="56" t="s">
        <v>716</v>
      </c>
      <c r="L59" s="1">
        <f>L57+N7</f>
        <v>631726785.10593414</v>
      </c>
      <c r="M59" s="113"/>
      <c r="N59" s="168"/>
      <c r="O59" s="115"/>
      <c r="P59" s="115"/>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O60" s="96"/>
      <c r="P60" s="96"/>
      <c r="Q60" s="168">
        <v>0</v>
      </c>
      <c r="R60" s="168" t="s">
        <v>4172</v>
      </c>
      <c r="S60" s="168">
        <f>S89</f>
        <v>298</v>
      </c>
      <c r="T60" s="168"/>
      <c r="U60" s="168"/>
      <c r="V60" s="73"/>
      <c r="W60" s="32"/>
      <c r="X60" s="32"/>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M61" s="25"/>
      <c r="O61" t="s">
        <v>25</v>
      </c>
      <c r="Q61" s="169">
        <v>863944</v>
      </c>
      <c r="R61" s="168" t="s">
        <v>4432</v>
      </c>
      <c r="S61" s="168">
        <f>S60-62</f>
        <v>236</v>
      </c>
      <c r="T61" s="190" t="s">
        <v>4504</v>
      </c>
      <c r="U61" s="168">
        <v>184.6</v>
      </c>
      <c r="V61" s="168">
        <f t="shared" ref="V61:V80" si="17">U61*(1+$R$85+$Q$15*S61/36500)</f>
        <v>220.82610630136986</v>
      </c>
      <c r="W61" s="32">
        <f t="shared" ref="W61:W80" si="18">V61*(1+$W$19/100)</f>
        <v>225.24262842739725</v>
      </c>
      <c r="X61" s="32">
        <f t="shared" ref="X61:X80" si="19">V61*(1+$X$19/100)</f>
        <v>229.65915055342467</v>
      </c>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M62" s="25" t="s">
        <v>4080</v>
      </c>
      <c r="N62" s="96"/>
      <c r="O62" s="96"/>
      <c r="P62" s="115"/>
      <c r="Q62" s="169">
        <v>1692313</v>
      </c>
      <c r="R62" s="168" t="s">
        <v>4507</v>
      </c>
      <c r="S62" s="197">
        <f>S61-21</f>
        <v>215</v>
      </c>
      <c r="T62" s="189" t="s">
        <v>4508</v>
      </c>
      <c r="U62" s="168">
        <v>168.5</v>
      </c>
      <c r="V62" s="168">
        <f t="shared" si="17"/>
        <v>198.85215890410961</v>
      </c>
      <c r="W62" s="32">
        <f t="shared" si="18"/>
        <v>202.82920208219181</v>
      </c>
      <c r="X62" s="32">
        <f t="shared" si="19"/>
        <v>206.80624526027401</v>
      </c>
      <c r="Y62" t="s">
        <v>25</v>
      </c>
      <c r="Z62" s="96"/>
      <c r="AA62" s="96"/>
      <c r="AB62" s="96"/>
      <c r="AC62" s="96"/>
      <c r="AH62" s="20">
        <v>43</v>
      </c>
      <c r="AI62" s="117" t="s">
        <v>4088</v>
      </c>
      <c r="AJ62" s="117">
        <v>200000</v>
      </c>
      <c r="AK62" s="20">
        <v>3</v>
      </c>
      <c r="AL62" s="99">
        <f>AL63+AK62</f>
        <v>309</v>
      </c>
      <c r="AM62" s="113">
        <f t="shared" si="11"/>
        <v>61800000</v>
      </c>
      <c r="AN62" s="20"/>
    </row>
    <row r="63" spans="1:45">
      <c r="E63" s="26"/>
      <c r="M63" s="177"/>
      <c r="N63" s="96"/>
      <c r="O63" s="96"/>
      <c r="P63" s="115"/>
      <c r="Q63" s="169">
        <v>101153</v>
      </c>
      <c r="R63" s="168" t="s">
        <v>4510</v>
      </c>
      <c r="S63" s="197">
        <f>S62-1</f>
        <v>214</v>
      </c>
      <c r="T63" s="189" t="s">
        <v>4512</v>
      </c>
      <c r="U63" s="168">
        <v>166.7</v>
      </c>
      <c r="V63" s="168">
        <f t="shared" si="17"/>
        <v>196.60004273972601</v>
      </c>
      <c r="W63" s="32">
        <f t="shared" si="18"/>
        <v>200.53204359452053</v>
      </c>
      <c r="X63" s="32">
        <f t="shared" si="19"/>
        <v>204.46404444931505</v>
      </c>
      <c r="Y63" t="s">
        <v>25</v>
      </c>
      <c r="Z63" s="96"/>
      <c r="AA63" s="96"/>
      <c r="AB63" s="96"/>
      <c r="AC63" s="96"/>
      <c r="AH63" s="20">
        <v>44</v>
      </c>
      <c r="AI63" s="117" t="s">
        <v>4095</v>
      </c>
      <c r="AJ63" s="117">
        <v>1000000</v>
      </c>
      <c r="AK63" s="20">
        <v>3</v>
      </c>
      <c r="AL63" s="99">
        <f t="shared" si="10"/>
        <v>306</v>
      </c>
      <c r="AM63" s="113">
        <f t="shared" si="11"/>
        <v>306000000</v>
      </c>
      <c r="AN63" s="20"/>
    </row>
    <row r="64" spans="1:45">
      <c r="E64" s="26"/>
      <c r="M64" s="96" t="s">
        <v>4802</v>
      </c>
      <c r="N64" s="96"/>
      <c r="O64" s="96"/>
      <c r="Q64" s="169">
        <v>183105</v>
      </c>
      <c r="R64" s="168" t="s">
        <v>4230</v>
      </c>
      <c r="S64" s="197">
        <f>S63-1</f>
        <v>213</v>
      </c>
      <c r="T64" s="189" t="s">
        <v>4516</v>
      </c>
      <c r="U64" s="168">
        <v>166.6</v>
      </c>
      <c r="V64" s="168">
        <f t="shared" si="17"/>
        <v>196.35430356164386</v>
      </c>
      <c r="W64" s="32">
        <f t="shared" si="18"/>
        <v>200.28138963287674</v>
      </c>
      <c r="X64" s="32">
        <f t="shared" si="19"/>
        <v>204.20847570410962</v>
      </c>
      <c r="Z64" s="96"/>
      <c r="AA64" s="96"/>
      <c r="AB64" s="96"/>
      <c r="AC64" s="96"/>
      <c r="AH64" s="20">
        <v>45</v>
      </c>
      <c r="AI64" s="117" t="s">
        <v>4107</v>
      </c>
      <c r="AJ64" s="117">
        <v>1300000</v>
      </c>
      <c r="AK64" s="20">
        <v>0</v>
      </c>
      <c r="AL64" s="99">
        <f>AL65+AK64</f>
        <v>303</v>
      </c>
      <c r="AM64" s="113">
        <f t="shared" si="11"/>
        <v>393900000</v>
      </c>
      <c r="AN64" s="20"/>
    </row>
    <row r="65" spans="1:40">
      <c r="M65" s="122" t="s">
        <v>4408</v>
      </c>
      <c r="O65" s="114"/>
      <c r="Q65" s="169">
        <v>168846</v>
      </c>
      <c r="R65" s="168" t="s">
        <v>3691</v>
      </c>
      <c r="S65" s="197">
        <f>S64-30</f>
        <v>183</v>
      </c>
      <c r="T65" s="189" t="s">
        <v>4613</v>
      </c>
      <c r="U65" s="168">
        <v>172.2</v>
      </c>
      <c r="V65" s="168">
        <f t="shared" si="17"/>
        <v>198.99148931506849</v>
      </c>
      <c r="W65" s="32">
        <f t="shared" si="18"/>
        <v>202.97131910136986</v>
      </c>
      <c r="X65" s="32">
        <f t="shared" si="19"/>
        <v>206.95114888767125</v>
      </c>
      <c r="Z65" s="96"/>
      <c r="AA65" s="96"/>
      <c r="AB65" s="96"/>
      <c r="AC65" s="96"/>
      <c r="AH65" s="20">
        <v>45</v>
      </c>
      <c r="AI65" s="117" t="s">
        <v>4107</v>
      </c>
      <c r="AJ65" s="117">
        <v>995000</v>
      </c>
      <c r="AK65" s="20">
        <v>2</v>
      </c>
      <c r="AL65" s="99">
        <f t="shared" ref="AL65:AL92" si="20">AL66+AK65</f>
        <v>303</v>
      </c>
      <c r="AM65" s="113">
        <f t="shared" si="11"/>
        <v>301485000</v>
      </c>
      <c r="AN65" s="20"/>
    </row>
    <row r="66" spans="1:40">
      <c r="M66" s="122" t="s">
        <v>4501</v>
      </c>
      <c r="N66" s="96"/>
      <c r="Q66" s="169">
        <v>19918023</v>
      </c>
      <c r="R66" s="5" t="s">
        <v>4871</v>
      </c>
      <c r="S66" s="197">
        <f>S65-75</f>
        <v>108</v>
      </c>
      <c r="T66" s="189" t="s">
        <v>4874</v>
      </c>
      <c r="U66" s="213">
        <v>183</v>
      </c>
      <c r="V66" s="213">
        <f t="shared" si="17"/>
        <v>200.94302465753429</v>
      </c>
      <c r="W66" s="32">
        <f t="shared" si="18"/>
        <v>204.96188515068499</v>
      </c>
      <c r="X66" s="32">
        <f t="shared" si="19"/>
        <v>208.98074564383566</v>
      </c>
      <c r="Y66" t="s">
        <v>25</v>
      </c>
      <c r="Z66" s="96"/>
      <c r="AA66" s="96"/>
      <c r="AB66" s="96"/>
      <c r="AC66" s="96"/>
      <c r="AH66" s="20">
        <v>46</v>
      </c>
      <c r="AI66" s="117" t="s">
        <v>4117</v>
      </c>
      <c r="AJ66" s="117">
        <v>13000000</v>
      </c>
      <c r="AK66" s="20">
        <v>2</v>
      </c>
      <c r="AL66" s="99">
        <f t="shared" si="20"/>
        <v>301</v>
      </c>
      <c r="AM66" s="113">
        <f t="shared" si="11"/>
        <v>3913000000</v>
      </c>
      <c r="AN66" s="20"/>
    </row>
    <row r="67" spans="1:40">
      <c r="A67" t="s">
        <v>25</v>
      </c>
      <c r="F67" t="s">
        <v>310</v>
      </c>
      <c r="G67" t="s">
        <v>4099</v>
      </c>
      <c r="M67" s="122" t="s">
        <v>4571</v>
      </c>
      <c r="N67" s="96"/>
      <c r="P67" t="s">
        <v>25</v>
      </c>
      <c r="Q67" s="169">
        <v>1200301</v>
      </c>
      <c r="R67" s="19" t="s">
        <v>4965</v>
      </c>
      <c r="S67" s="197">
        <f>S66-34</f>
        <v>74</v>
      </c>
      <c r="T67" s="189" t="s">
        <v>4967</v>
      </c>
      <c r="U67" s="213">
        <v>218.5</v>
      </c>
      <c r="V67" s="213">
        <f t="shared" si="17"/>
        <v>234.22481643835619</v>
      </c>
      <c r="W67" s="32">
        <f t="shared" si="18"/>
        <v>238.90931276712331</v>
      </c>
      <c r="X67" s="32">
        <f t="shared" si="19"/>
        <v>243.59380909589044</v>
      </c>
      <c r="Y67" t="s">
        <v>25</v>
      </c>
      <c r="Z67" s="96"/>
      <c r="AA67" s="96"/>
      <c r="AB67" s="96"/>
      <c r="AC67" s="96"/>
      <c r="AH67" s="20">
        <v>47</v>
      </c>
      <c r="AI67" s="117" t="s">
        <v>4130</v>
      </c>
      <c r="AJ67" s="117">
        <v>-3100000</v>
      </c>
      <c r="AK67" s="20">
        <v>3</v>
      </c>
      <c r="AL67" s="99">
        <f t="shared" si="20"/>
        <v>299</v>
      </c>
      <c r="AM67" s="113">
        <f t="shared" si="11"/>
        <v>-926900000</v>
      </c>
      <c r="AN67" s="20"/>
    </row>
    <row r="68" spans="1:40" ht="30">
      <c r="F68" t="s">
        <v>4103</v>
      </c>
      <c r="G68" t="s">
        <v>4098</v>
      </c>
      <c r="K68" s="212" t="s">
        <v>4736</v>
      </c>
      <c r="L68" s="22" t="s">
        <v>4712</v>
      </c>
      <c r="M68" s="206" t="s">
        <v>4691</v>
      </c>
      <c r="N68" s="96"/>
      <c r="P68" s="115"/>
      <c r="Q68" s="169">
        <v>6135206</v>
      </c>
      <c r="R68" s="19" t="s">
        <v>4995</v>
      </c>
      <c r="S68" s="197">
        <f>S67-16</f>
        <v>58</v>
      </c>
      <c r="T68" s="189" t="s">
        <v>4996</v>
      </c>
      <c r="U68" s="213">
        <v>196.2</v>
      </c>
      <c r="V68" s="213">
        <f t="shared" si="17"/>
        <v>207.91179616438359</v>
      </c>
      <c r="W68" s="32">
        <f t="shared" si="18"/>
        <v>212.07003208767125</v>
      </c>
      <c r="X68" s="32">
        <f t="shared" si="19"/>
        <v>216.22826801095894</v>
      </c>
      <c r="Z68" s="96"/>
      <c r="AA68" s="96"/>
      <c r="AB68" s="96"/>
      <c r="AC68" s="96"/>
      <c r="AH68" s="20">
        <v>48</v>
      </c>
      <c r="AI68" s="117" t="s">
        <v>4145</v>
      </c>
      <c r="AJ68" s="117">
        <v>45640000</v>
      </c>
      <c r="AK68" s="20">
        <v>1</v>
      </c>
      <c r="AL68" s="99">
        <f t="shared" si="20"/>
        <v>296</v>
      </c>
      <c r="AM68" s="113">
        <f t="shared" si="11"/>
        <v>13509440000</v>
      </c>
      <c r="AN68" s="20"/>
    </row>
    <row r="69" spans="1:40" ht="21">
      <c r="F69" t="s">
        <v>4104</v>
      </c>
      <c r="G69" t="s">
        <v>4100</v>
      </c>
      <c r="K69" t="s">
        <v>4737</v>
      </c>
      <c r="M69" s="260" t="s">
        <v>5070</v>
      </c>
      <c r="N69" s="96"/>
      <c r="P69" s="115" t="s">
        <v>25</v>
      </c>
      <c r="Q69" s="169">
        <v>104578</v>
      </c>
      <c r="R69" s="19" t="s">
        <v>5019</v>
      </c>
      <c r="S69" s="197">
        <f>S68-9</f>
        <v>49</v>
      </c>
      <c r="T69" s="189" t="s">
        <v>5020</v>
      </c>
      <c r="U69" s="213">
        <v>199.8</v>
      </c>
      <c r="V69" s="213">
        <f t="shared" si="17"/>
        <v>210.34725041095894</v>
      </c>
      <c r="W69" s="32">
        <f t="shared" si="18"/>
        <v>214.55419541917811</v>
      </c>
      <c r="X69" s="32">
        <f t="shared" si="19"/>
        <v>218.76114042739729</v>
      </c>
      <c r="Z69" s="96"/>
      <c r="AA69" s="96"/>
      <c r="AB69" s="96"/>
      <c r="AC69" s="96"/>
      <c r="AH69" s="20">
        <v>49</v>
      </c>
      <c r="AI69" s="117" t="s">
        <v>4151</v>
      </c>
      <c r="AJ69" s="117">
        <v>33500000</v>
      </c>
      <c r="AK69" s="20">
        <v>1</v>
      </c>
      <c r="AL69" s="99">
        <f t="shared" si="20"/>
        <v>295</v>
      </c>
      <c r="AM69" s="113">
        <f t="shared" si="11"/>
        <v>9882500000</v>
      </c>
      <c r="AN69" s="20"/>
    </row>
    <row r="70" spans="1:40">
      <c r="G70" t="s">
        <v>4101</v>
      </c>
      <c r="K70" t="s">
        <v>4574</v>
      </c>
      <c r="L70" s="96"/>
      <c r="M70" s="122"/>
      <c r="O70" t="s">
        <v>25</v>
      </c>
      <c r="P70" s="115"/>
      <c r="Q70" s="169">
        <v>119253</v>
      </c>
      <c r="R70" s="19" t="s">
        <v>5024</v>
      </c>
      <c r="S70" s="197">
        <f>S69-3</f>
        <v>46</v>
      </c>
      <c r="T70" s="189" t="s">
        <v>5026</v>
      </c>
      <c r="U70" s="213">
        <v>199.5</v>
      </c>
      <c r="V70" s="213">
        <f t="shared" si="17"/>
        <v>209.57229041095891</v>
      </c>
      <c r="W70" s="32">
        <f t="shared" si="18"/>
        <v>213.7637362191781</v>
      </c>
      <c r="X70" s="32">
        <f t="shared" si="19"/>
        <v>217.95518202739729</v>
      </c>
      <c r="AH70" s="20">
        <v>50</v>
      </c>
      <c r="AI70" s="117" t="s">
        <v>4156</v>
      </c>
      <c r="AJ70" s="117">
        <v>12000000</v>
      </c>
      <c r="AK70" s="20">
        <v>1</v>
      </c>
      <c r="AL70" s="99">
        <f t="shared" si="20"/>
        <v>294</v>
      </c>
      <c r="AM70" s="117">
        <f t="shared" si="11"/>
        <v>3528000000</v>
      </c>
      <c r="AN70" s="20"/>
    </row>
    <row r="71" spans="1:40">
      <c r="G71" t="s">
        <v>4102</v>
      </c>
      <c r="K71" t="s">
        <v>4803</v>
      </c>
      <c r="M71" s="96">
        <f>O45+O21+O28-O51</f>
        <v>4741049</v>
      </c>
      <c r="N71" s="113">
        <f>M71*P45</f>
        <v>1098501053.3</v>
      </c>
      <c r="P71" s="115"/>
      <c r="Q71" s="169">
        <v>30004376</v>
      </c>
      <c r="R71" s="19" t="s">
        <v>5045</v>
      </c>
      <c r="S71" s="197">
        <f>S70-9</f>
        <v>37</v>
      </c>
      <c r="T71" s="189" t="s">
        <v>5046</v>
      </c>
      <c r="U71" s="213">
        <v>200</v>
      </c>
      <c r="V71" s="213">
        <f t="shared" si="17"/>
        <v>208.71671232876716</v>
      </c>
      <c r="W71" s="32">
        <f t="shared" si="18"/>
        <v>212.8910465753425</v>
      </c>
      <c r="X71" s="32">
        <f t="shared" si="19"/>
        <v>217.06538082191784</v>
      </c>
      <c r="AH71" s="20">
        <v>51</v>
      </c>
      <c r="AI71" s="117" t="s">
        <v>4162</v>
      </c>
      <c r="AJ71" s="117">
        <v>15500000</v>
      </c>
      <c r="AK71" s="20">
        <v>4</v>
      </c>
      <c r="AL71" s="99">
        <f t="shared" si="20"/>
        <v>293</v>
      </c>
      <c r="AM71" s="117">
        <f t="shared" si="11"/>
        <v>4541500000</v>
      </c>
      <c r="AN71" s="20"/>
    </row>
    <row r="72" spans="1:40">
      <c r="G72" t="s">
        <v>4106</v>
      </c>
      <c r="K72" t="s">
        <v>4804</v>
      </c>
      <c r="M72" t="s">
        <v>4266</v>
      </c>
      <c r="P72" s="115"/>
      <c r="Q72" s="169">
        <v>119980</v>
      </c>
      <c r="R72" s="19" t="s">
        <v>5075</v>
      </c>
      <c r="S72" s="197">
        <f>S71-8</f>
        <v>29</v>
      </c>
      <c r="T72" s="189" t="s">
        <v>5078</v>
      </c>
      <c r="U72" s="213">
        <v>211</v>
      </c>
      <c r="V72" s="213">
        <f t="shared" si="17"/>
        <v>218.90122739726027</v>
      </c>
      <c r="W72" s="32">
        <f t="shared" si="18"/>
        <v>223.27925194520549</v>
      </c>
      <c r="X72" s="32">
        <f t="shared" si="19"/>
        <v>227.6572764931507</v>
      </c>
      <c r="AH72" s="20">
        <v>52</v>
      </c>
      <c r="AI72" s="117" t="s">
        <v>4166</v>
      </c>
      <c r="AJ72" s="117">
        <v>150000</v>
      </c>
      <c r="AK72" s="20">
        <v>1</v>
      </c>
      <c r="AL72" s="99">
        <f t="shared" si="20"/>
        <v>289</v>
      </c>
      <c r="AM72" s="117">
        <f t="shared" si="11"/>
        <v>43350000</v>
      </c>
      <c r="AN72" s="20"/>
    </row>
    <row r="73" spans="1:40">
      <c r="G73" t="s">
        <v>4105</v>
      </c>
      <c r="K73" t="s">
        <v>4805</v>
      </c>
      <c r="M73" t="s">
        <v>4576</v>
      </c>
      <c r="N73" t="s">
        <v>25</v>
      </c>
      <c r="P73" s="115"/>
      <c r="Q73" s="169">
        <v>106716</v>
      </c>
      <c r="R73" s="19" t="s">
        <v>5095</v>
      </c>
      <c r="S73" s="197">
        <f>S72-6</f>
        <v>23</v>
      </c>
      <c r="T73" s="189" t="s">
        <v>5097</v>
      </c>
      <c r="U73" s="213">
        <v>213.3</v>
      </c>
      <c r="V73" s="213">
        <f t="shared" si="17"/>
        <v>220.30559013698632</v>
      </c>
      <c r="W73" s="32">
        <f t="shared" si="18"/>
        <v>224.71170193972605</v>
      </c>
      <c r="X73" s="32">
        <f t="shared" si="19"/>
        <v>229.11781374246578</v>
      </c>
      <c r="AH73" s="179">
        <v>53</v>
      </c>
      <c r="AI73" s="180" t="s">
        <v>4172</v>
      </c>
      <c r="AJ73" s="180">
        <v>29000000</v>
      </c>
      <c r="AK73" s="179">
        <v>15</v>
      </c>
      <c r="AL73" s="179">
        <f t="shared" si="20"/>
        <v>288</v>
      </c>
      <c r="AM73" s="180">
        <f t="shared" si="11"/>
        <v>8352000000</v>
      </c>
      <c r="AN73" s="179" t="s">
        <v>4185</v>
      </c>
    </row>
    <row r="74" spans="1:40" ht="26.25">
      <c r="K74" t="s">
        <v>4534</v>
      </c>
      <c r="M74" s="257"/>
      <c r="P74" s="115"/>
      <c r="Q74" s="169">
        <v>1324444</v>
      </c>
      <c r="R74" s="19" t="s">
        <v>5095</v>
      </c>
      <c r="S74" s="197">
        <f>S73</f>
        <v>23</v>
      </c>
      <c r="T74" s="189" t="s">
        <v>5099</v>
      </c>
      <c r="U74" s="213">
        <v>821.9</v>
      </c>
      <c r="V74" s="213">
        <f t="shared" si="17"/>
        <v>848.89434849315069</v>
      </c>
      <c r="W74" s="32">
        <f t="shared" si="18"/>
        <v>865.87223546301368</v>
      </c>
      <c r="X74" s="32">
        <f t="shared" si="19"/>
        <v>882.85012243287679</v>
      </c>
      <c r="AH74" s="20">
        <v>54</v>
      </c>
      <c r="AI74" s="117" t="s">
        <v>4209</v>
      </c>
      <c r="AJ74" s="117">
        <v>-130000</v>
      </c>
      <c r="AK74" s="20">
        <v>7</v>
      </c>
      <c r="AL74" s="99">
        <f t="shared" si="20"/>
        <v>273</v>
      </c>
      <c r="AM74" s="117">
        <f t="shared" si="11"/>
        <v>-35490000</v>
      </c>
      <c r="AN74" s="20" t="s">
        <v>4211</v>
      </c>
    </row>
    <row r="75" spans="1:40">
      <c r="G75" s="48" t="s">
        <v>788</v>
      </c>
      <c r="H75" s="201" t="s">
        <v>476</v>
      </c>
      <c r="K75" t="s">
        <v>4578</v>
      </c>
      <c r="M75" t="s">
        <v>5038</v>
      </c>
      <c r="P75" s="115"/>
      <c r="Q75" s="169">
        <v>29111</v>
      </c>
      <c r="R75" s="19" t="s">
        <v>5123</v>
      </c>
      <c r="S75" s="197">
        <f>S74-9</f>
        <v>14</v>
      </c>
      <c r="T75" s="189" t="s">
        <v>5127</v>
      </c>
      <c r="U75" s="213">
        <v>315</v>
      </c>
      <c r="V75" s="213">
        <f t="shared" si="17"/>
        <v>323.17101369863019</v>
      </c>
      <c r="W75" s="32">
        <f t="shared" si="18"/>
        <v>329.63443397260278</v>
      </c>
      <c r="X75" s="32">
        <f t="shared" si="19"/>
        <v>336.09785424657542</v>
      </c>
      <c r="AH75" s="20">
        <v>55</v>
      </c>
      <c r="AI75" s="117" t="s">
        <v>4257</v>
      </c>
      <c r="AJ75" s="117">
        <v>232000</v>
      </c>
      <c r="AK75" s="20">
        <v>2</v>
      </c>
      <c r="AL75" s="99">
        <f t="shared" si="20"/>
        <v>266</v>
      </c>
      <c r="AM75" s="117">
        <f>AJ75*AL75</f>
        <v>61712000</v>
      </c>
      <c r="AN75" s="20" t="s">
        <v>4259</v>
      </c>
    </row>
    <row r="76" spans="1:40">
      <c r="D76" s="3"/>
      <c r="E76" s="11" t="s">
        <v>304</v>
      </c>
      <c r="G76" s="47">
        <v>700000</v>
      </c>
      <c r="H76" s="201" t="s">
        <v>1039</v>
      </c>
      <c r="K76" t="s">
        <v>4533</v>
      </c>
      <c r="M76" s="263" t="s">
        <v>5081</v>
      </c>
      <c r="P76" s="115"/>
      <c r="Q76" s="169">
        <v>240923</v>
      </c>
      <c r="R76" s="19" t="s">
        <v>5139</v>
      </c>
      <c r="S76" s="197">
        <f>S75-10</f>
        <v>4</v>
      </c>
      <c r="T76" s="189" t="s">
        <v>5142</v>
      </c>
      <c r="U76" s="213">
        <v>691.1</v>
      </c>
      <c r="V76" s="213">
        <f t="shared" si="17"/>
        <v>703.72535561643849</v>
      </c>
      <c r="W76" s="32">
        <f t="shared" si="18"/>
        <v>717.79986272876727</v>
      </c>
      <c r="X76" s="32">
        <f t="shared" si="19"/>
        <v>731.87436984109604</v>
      </c>
      <c r="Y76" s="122" t="s">
        <v>25</v>
      </c>
      <c r="AH76" s="20">
        <v>56</v>
      </c>
      <c r="AI76" s="117" t="s">
        <v>4268</v>
      </c>
      <c r="AJ76" s="117">
        <v>-170000</v>
      </c>
      <c r="AK76" s="20">
        <v>3</v>
      </c>
      <c r="AL76" s="99">
        <f t="shared" si="20"/>
        <v>264</v>
      </c>
      <c r="AM76" s="117">
        <f t="shared" si="11"/>
        <v>-44880000</v>
      </c>
      <c r="AN76" s="20"/>
    </row>
    <row r="77" spans="1:40">
      <c r="D77" s="1" t="s">
        <v>305</v>
      </c>
      <c r="E77" s="1">
        <v>70000</v>
      </c>
      <c r="G77" s="47">
        <v>500000</v>
      </c>
      <c r="H77" s="201" t="s">
        <v>479</v>
      </c>
      <c r="K77" s="22" t="s">
        <v>4242</v>
      </c>
      <c r="M77" s="263" t="s">
        <v>5082</v>
      </c>
      <c r="O77" t="s">
        <v>25</v>
      </c>
      <c r="P77" t="s">
        <v>25</v>
      </c>
      <c r="Q77" s="169">
        <v>1408805</v>
      </c>
      <c r="R77" s="19" t="s">
        <v>5150</v>
      </c>
      <c r="S77" s="197">
        <f>S76-2</f>
        <v>2</v>
      </c>
      <c r="T77" s="189" t="s">
        <v>5152</v>
      </c>
      <c r="U77" s="213">
        <v>235.2</v>
      </c>
      <c r="V77" s="213">
        <f t="shared" si="17"/>
        <v>239.13589479452057</v>
      </c>
      <c r="W77" s="32">
        <f t="shared" si="18"/>
        <v>243.91861269041098</v>
      </c>
      <c r="X77" s="32">
        <f t="shared" si="19"/>
        <v>248.7013305863014</v>
      </c>
      <c r="Y77" t="s">
        <v>25</v>
      </c>
      <c r="AA77" t="s">
        <v>25</v>
      </c>
      <c r="AH77" s="20">
        <v>57</v>
      </c>
      <c r="AI77" s="117" t="s">
        <v>4282</v>
      </c>
      <c r="AJ77" s="117">
        <v>-300000</v>
      </c>
      <c r="AK77" s="20">
        <v>3</v>
      </c>
      <c r="AL77" s="99">
        <f t="shared" si="20"/>
        <v>261</v>
      </c>
      <c r="AM77" s="117">
        <f t="shared" si="11"/>
        <v>-78300000</v>
      </c>
      <c r="AN77" s="20"/>
    </row>
    <row r="78" spans="1:40">
      <c r="D78" s="1" t="s">
        <v>321</v>
      </c>
      <c r="E78" s="1">
        <v>100000</v>
      </c>
      <c r="G78" s="47">
        <v>180000</v>
      </c>
      <c r="H78" s="201" t="s">
        <v>558</v>
      </c>
      <c r="K78" t="s">
        <v>4530</v>
      </c>
      <c r="Q78" s="169">
        <v>4507053</v>
      </c>
      <c r="R78" s="19" t="s">
        <v>5154</v>
      </c>
      <c r="S78" s="197">
        <f>S77-1</f>
        <v>1</v>
      </c>
      <c r="T78" s="189" t="s">
        <v>5155</v>
      </c>
      <c r="U78" s="213">
        <v>225</v>
      </c>
      <c r="V78" s="213">
        <f t="shared" si="17"/>
        <v>228.59260273972603</v>
      </c>
      <c r="W78" s="32">
        <f t="shared" si="18"/>
        <v>233.16445479452057</v>
      </c>
      <c r="X78" s="32">
        <f t="shared" si="19"/>
        <v>237.73630684931507</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4295</v>
      </c>
      <c r="Q79" s="169">
        <v>1927152</v>
      </c>
      <c r="R79" s="19" t="s">
        <v>5148</v>
      </c>
      <c r="S79" s="197">
        <f>S78-1</f>
        <v>0</v>
      </c>
      <c r="T79" s="189" t="s">
        <v>5159</v>
      </c>
      <c r="U79" s="213">
        <v>232.6</v>
      </c>
      <c r="V79" s="213">
        <f t="shared" si="17"/>
        <v>236.13552000000001</v>
      </c>
      <c r="W79" s="32">
        <f t="shared" si="18"/>
        <v>240.85823040000002</v>
      </c>
      <c r="X79" s="32">
        <f t="shared" si="19"/>
        <v>245.58094080000004</v>
      </c>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25</v>
      </c>
      <c r="Q80" s="169"/>
      <c r="R80" s="168"/>
      <c r="S80" s="113"/>
      <c r="T80" s="113"/>
      <c r="U80" s="168"/>
      <c r="V80" s="168">
        <f t="shared" si="17"/>
        <v>0</v>
      </c>
      <c r="W80" s="32">
        <f t="shared" si="18"/>
        <v>0</v>
      </c>
      <c r="X80" s="32">
        <f t="shared" si="19"/>
        <v>0</v>
      </c>
      <c r="AC80" s="115"/>
      <c r="AD80" s="115"/>
      <c r="AE80" s="115"/>
      <c r="AF80"/>
      <c r="AH80" s="20">
        <v>60</v>
      </c>
      <c r="AI80" s="117" t="s">
        <v>4347</v>
      </c>
      <c r="AJ80" s="117">
        <v>-2450000</v>
      </c>
      <c r="AK80" s="20">
        <v>5</v>
      </c>
      <c r="AL80" s="99">
        <f t="shared" si="21"/>
        <v>244</v>
      </c>
      <c r="AM80" s="117">
        <f>AJ80*AL80</f>
        <v>-597800000</v>
      </c>
      <c r="AN80" s="20"/>
    </row>
    <row r="81" spans="4:52">
      <c r="D81" s="31" t="s">
        <v>308</v>
      </c>
      <c r="E81" s="1">
        <v>300000</v>
      </c>
      <c r="G81" s="47">
        <v>500000</v>
      </c>
      <c r="H81" s="48" t="s">
        <v>786</v>
      </c>
      <c r="K81" s="96"/>
      <c r="M81" s="193" t="s">
        <v>4529</v>
      </c>
      <c r="Q81" s="113">
        <f>SUM(N26:N28)-SUM(Q60:Q80)</f>
        <v>11872704.199999988</v>
      </c>
      <c r="R81" s="168"/>
      <c r="S81" s="168"/>
      <c r="T81" s="168"/>
      <c r="U81" s="168"/>
      <c r="V81" s="168"/>
      <c r="W81" s="32"/>
      <c r="X81" s="32"/>
      <c r="AD81" s="115"/>
      <c r="AE81" s="115"/>
      <c r="AF81" s="115"/>
      <c r="AH81" s="20">
        <v>61</v>
      </c>
      <c r="AI81" s="117" t="s">
        <v>4371</v>
      </c>
      <c r="AJ81" s="117">
        <v>-456081</v>
      </c>
      <c r="AK81" s="20">
        <v>1</v>
      </c>
      <c r="AL81" s="99">
        <f t="shared" si="21"/>
        <v>239</v>
      </c>
      <c r="AM81" s="117">
        <f t="shared" si="11"/>
        <v>-109003359</v>
      </c>
      <c r="AN81" s="20"/>
    </row>
    <row r="82" spans="4:52">
      <c r="D82" s="31" t="s">
        <v>309</v>
      </c>
      <c r="E82" s="1">
        <v>100000</v>
      </c>
      <c r="G82" s="47">
        <v>75000</v>
      </c>
      <c r="H82" s="48" t="s">
        <v>787</v>
      </c>
      <c r="K82" s="96"/>
      <c r="M82" t="s">
        <v>4530</v>
      </c>
      <c r="R82" s="115"/>
      <c r="S82" s="115"/>
      <c r="T82" s="115" t="s">
        <v>25</v>
      </c>
      <c r="U82" s="115"/>
      <c r="V82" s="115" t="s">
        <v>25</v>
      </c>
      <c r="W82" s="194" t="s">
        <v>25</v>
      </c>
      <c r="X82" s="194"/>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s="96"/>
      <c r="M83" t="s">
        <v>4533</v>
      </c>
      <c r="Q83" s="99" t="s">
        <v>949</v>
      </c>
      <c r="R83" s="99">
        <v>1.03E-2</v>
      </c>
      <c r="S83" s="26" t="s">
        <v>25</v>
      </c>
      <c r="T83" t="s">
        <v>25</v>
      </c>
      <c r="U83" s="96" t="s">
        <v>25</v>
      </c>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s="96"/>
      <c r="M84" t="s">
        <v>4534</v>
      </c>
      <c r="Q84" s="99" t="s">
        <v>61</v>
      </c>
      <c r="R84" s="99">
        <v>4.8999999999999998E-3</v>
      </c>
      <c r="T84" t="s">
        <v>25</v>
      </c>
      <c r="V84"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233</v>
      </c>
      <c r="AM84" s="117">
        <f t="shared" si="11"/>
        <v>454572981</v>
      </c>
      <c r="AN84" s="20"/>
      <c r="AZ84" t="s">
        <v>25</v>
      </c>
    </row>
    <row r="85" spans="4:52">
      <c r="D85" s="32" t="s">
        <v>312</v>
      </c>
      <c r="E85" s="1">
        <v>200000</v>
      </c>
      <c r="G85" s="47">
        <v>50000</v>
      </c>
      <c r="H85" s="48" t="s">
        <v>792</v>
      </c>
      <c r="K85" s="96"/>
      <c r="L85" s="96"/>
      <c r="M85" s="96"/>
      <c r="N85" s="96"/>
      <c r="Q85" s="99" t="s">
        <v>6</v>
      </c>
      <c r="R85" s="99">
        <f>R83+R84</f>
        <v>1.52E-2</v>
      </c>
      <c r="T85" t="s">
        <v>25</v>
      </c>
      <c r="U85" s="96" t="s">
        <v>25</v>
      </c>
      <c r="V85" t="s">
        <v>25</v>
      </c>
      <c r="W85" s="194"/>
      <c r="X85" s="194"/>
      <c r="Y85" s="96" t="s">
        <v>25</v>
      </c>
      <c r="Z85" s="115"/>
      <c r="AA85" s="115"/>
      <c r="AB85" s="115"/>
      <c r="AC85" s="128"/>
      <c r="AD85" s="115"/>
      <c r="AE85" s="115"/>
      <c r="AF85" s="115"/>
      <c r="AH85" s="20">
        <v>65</v>
      </c>
      <c r="AI85" s="117" t="s">
        <v>4426</v>
      </c>
      <c r="AJ85" s="117">
        <v>600000</v>
      </c>
      <c r="AK85" s="20">
        <v>5</v>
      </c>
      <c r="AL85" s="99">
        <f t="shared" si="20"/>
        <v>229</v>
      </c>
      <c r="AM85" s="117">
        <f t="shared" si="11"/>
        <v>137400000</v>
      </c>
      <c r="AN85" s="20"/>
    </row>
    <row r="86" spans="4:52">
      <c r="D86" s="32" t="s">
        <v>313</v>
      </c>
      <c r="E86" s="1">
        <v>20000</v>
      </c>
      <c r="G86" s="47">
        <v>140000</v>
      </c>
      <c r="H86" s="48" t="s">
        <v>314</v>
      </c>
      <c r="K86" s="96"/>
      <c r="L86" s="96"/>
      <c r="M86" s="96"/>
      <c r="N86" s="96"/>
      <c r="W86" s="194"/>
      <c r="X86" s="194"/>
      <c r="Y86" s="96"/>
      <c r="Z86" s="115"/>
      <c r="AA86" s="115"/>
      <c r="AB86" s="115"/>
      <c r="AC86" s="128"/>
      <c r="AD86" s="115"/>
      <c r="AE86" s="115"/>
      <c r="AF86" s="115"/>
      <c r="AH86" s="20">
        <v>66</v>
      </c>
      <c r="AI86" s="117" t="s">
        <v>4434</v>
      </c>
      <c r="AJ86" s="117">
        <v>7500000</v>
      </c>
      <c r="AK86" s="20">
        <v>2</v>
      </c>
      <c r="AL86" s="99">
        <f t="shared" si="20"/>
        <v>224</v>
      </c>
      <c r="AM86" s="117">
        <f t="shared" si="11"/>
        <v>1680000000</v>
      </c>
      <c r="AN86" s="20"/>
      <c r="AS86" s="96"/>
    </row>
    <row r="87" spans="4:52" ht="30">
      <c r="D87" s="32" t="s">
        <v>315</v>
      </c>
      <c r="E87" s="1">
        <v>50000</v>
      </c>
      <c r="G87" s="47"/>
      <c r="H87" s="48" t="s">
        <v>25</v>
      </c>
      <c r="J87">
        <v>0</v>
      </c>
      <c r="K87" s="96"/>
      <c r="Q87" s="73" t="s">
        <v>4294</v>
      </c>
      <c r="R87" s="112"/>
      <c r="S87" s="112"/>
      <c r="T87" s="112"/>
      <c r="U87" s="168" t="s">
        <v>4362</v>
      </c>
      <c r="V87" s="36" t="s">
        <v>4364</v>
      </c>
      <c r="W87" s="32"/>
      <c r="X87" s="32"/>
      <c r="Y87" s="96"/>
      <c r="Z87" s="115"/>
      <c r="AA87" s="115"/>
      <c r="AB87" s="115"/>
      <c r="AC87" s="128"/>
      <c r="AD87" s="115"/>
      <c r="AE87" s="115"/>
      <c r="AF87" s="115"/>
      <c r="AH87" s="20">
        <v>67</v>
      </c>
      <c r="AI87" s="117" t="s">
        <v>4439</v>
      </c>
      <c r="AJ87" s="117">
        <v>-587816</v>
      </c>
      <c r="AK87" s="20">
        <v>3</v>
      </c>
      <c r="AL87" s="99">
        <f t="shared" si="20"/>
        <v>222</v>
      </c>
      <c r="AM87" s="117">
        <f t="shared" si="11"/>
        <v>-130495152</v>
      </c>
      <c r="AN87" s="20"/>
      <c r="AS87" s="96"/>
    </row>
    <row r="88" spans="4:52">
      <c r="D88" s="32" t="s">
        <v>316</v>
      </c>
      <c r="E88" s="1">
        <v>90000</v>
      </c>
      <c r="G88" s="47">
        <f>SUM(G76:G87)</f>
        <v>2645000</v>
      </c>
      <c r="H88" s="48" t="s">
        <v>6</v>
      </c>
      <c r="K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4438</v>
      </c>
      <c r="AJ88" s="117">
        <v>-907489</v>
      </c>
      <c r="AK88" s="20">
        <v>0</v>
      </c>
      <c r="AL88" s="99">
        <f>AL89+AK88</f>
        <v>219</v>
      </c>
      <c r="AM88" s="117">
        <f t="shared" si="11"/>
        <v>-198740091</v>
      </c>
      <c r="AN88" s="20"/>
      <c r="AP88" t="s">
        <v>25</v>
      </c>
      <c r="AV88" t="s">
        <v>25</v>
      </c>
    </row>
    <row r="89" spans="4:52">
      <c r="D89" s="32" t="s">
        <v>317</v>
      </c>
      <c r="E89" s="1">
        <v>50000</v>
      </c>
      <c r="K89" s="96"/>
      <c r="P89" s="115"/>
      <c r="Q89" s="35">
        <v>184971545</v>
      </c>
      <c r="R89" s="5" t="s">
        <v>4172</v>
      </c>
      <c r="S89" s="5">
        <v>298</v>
      </c>
      <c r="T89" s="5" t="s">
        <v>4345</v>
      </c>
      <c r="U89" s="168">
        <v>192</v>
      </c>
      <c r="V89" s="99">
        <f t="shared" ref="V89:V120" si="22">U89*(1+$R$85+$Q$15*S89/36500)</f>
        <v>238.8101260273973</v>
      </c>
      <c r="W89" s="32">
        <f t="shared" ref="W89:W106" si="23">V89*(1+$W$19/100)</f>
        <v>243.58632854794524</v>
      </c>
      <c r="X89" s="32">
        <f t="shared" ref="X89:X106" si="24">V89*(1+$X$19/100)</f>
        <v>248.36253106849321</v>
      </c>
      <c r="Z89" s="115"/>
      <c r="AA89" s="115"/>
      <c r="AB89" s="115"/>
      <c r="AC89" s="115"/>
      <c r="AD89" s="115"/>
      <c r="AE89" s="115"/>
      <c r="AF89" s="115"/>
      <c r="AG89" s="115"/>
      <c r="AH89" s="20">
        <v>69</v>
      </c>
      <c r="AI89" s="117" t="s">
        <v>4438</v>
      </c>
      <c r="AJ89" s="117">
        <v>2450000</v>
      </c>
      <c r="AK89" s="20">
        <v>1</v>
      </c>
      <c r="AL89" s="99">
        <f t="shared" si="20"/>
        <v>219</v>
      </c>
      <c r="AM89" s="117">
        <f t="shared" si="11"/>
        <v>536550000</v>
      </c>
      <c r="AN89" s="20" t="s">
        <v>4477</v>
      </c>
      <c r="AQ89" t="s">
        <v>25</v>
      </c>
      <c r="AR89" t="s">
        <v>25</v>
      </c>
    </row>
    <row r="90" spans="4:52">
      <c r="D90" s="32" t="s">
        <v>327</v>
      </c>
      <c r="E90" s="1">
        <v>150000</v>
      </c>
      <c r="J90">
        <v>395</v>
      </c>
      <c r="K90" s="96"/>
      <c r="P90" s="128"/>
      <c r="Q90" s="35">
        <v>9560464</v>
      </c>
      <c r="R90" s="5" t="s">
        <v>4298</v>
      </c>
      <c r="S90" s="5">
        <f>S89-31</f>
        <v>267</v>
      </c>
      <c r="T90" s="5" t="s">
        <v>4311</v>
      </c>
      <c r="U90" s="168">
        <v>214.57</v>
      </c>
      <c r="V90" s="99">
        <f t="shared" si="22"/>
        <v>261.78010290410958</v>
      </c>
      <c r="W90" s="32">
        <f t="shared" si="23"/>
        <v>267.01570496219176</v>
      </c>
      <c r="X90" s="32">
        <f t="shared" si="24"/>
        <v>272.251307020274</v>
      </c>
      <c r="Z90" s="115"/>
      <c r="AA90" s="115"/>
      <c r="AB90" s="115"/>
      <c r="AC90" s="115"/>
      <c r="AD90" s="115"/>
      <c r="AE90"/>
      <c r="AG90" s="115"/>
      <c r="AH90" s="20">
        <v>70</v>
      </c>
      <c r="AI90" s="117" t="s">
        <v>4479</v>
      </c>
      <c r="AJ90" s="117">
        <v>1500000</v>
      </c>
      <c r="AK90" s="20">
        <v>1</v>
      </c>
      <c r="AL90" s="99">
        <f t="shared" si="20"/>
        <v>218</v>
      </c>
      <c r="AM90" s="117">
        <f t="shared" si="11"/>
        <v>327000000</v>
      </c>
      <c r="AN90" s="20"/>
      <c r="AP90" t="s">
        <v>25</v>
      </c>
      <c r="AU90" s="96" t="s">
        <v>25</v>
      </c>
    </row>
    <row r="91" spans="4:52">
      <c r="D91" s="32" t="s">
        <v>318</v>
      </c>
      <c r="E91" s="1">
        <v>15000</v>
      </c>
      <c r="F91" s="96"/>
      <c r="G91" s="96"/>
      <c r="H91" s="96"/>
      <c r="I91" s="96"/>
      <c r="J91" s="96"/>
      <c r="K91" s="96" t="s">
        <v>25</v>
      </c>
      <c r="P91" s="128"/>
      <c r="Q91" s="35">
        <v>2000000</v>
      </c>
      <c r="R91" s="5" t="s">
        <v>4341</v>
      </c>
      <c r="S91" s="5">
        <f>S90-11</f>
        <v>256</v>
      </c>
      <c r="T91" s="5" t="s">
        <v>4344</v>
      </c>
      <c r="U91" s="168">
        <v>206.8</v>
      </c>
      <c r="V91" s="99">
        <f t="shared" si="22"/>
        <v>250.55548054794525</v>
      </c>
      <c r="W91" s="32">
        <f t="shared" si="23"/>
        <v>255.56659015890415</v>
      </c>
      <c r="X91" s="32">
        <f t="shared" si="24"/>
        <v>260.57769976986305</v>
      </c>
      <c r="Z91" s="115"/>
      <c r="AA91" s="115"/>
      <c r="AE91"/>
      <c r="AG91" s="96"/>
      <c r="AH91" s="20">
        <v>71</v>
      </c>
      <c r="AI91" s="117" t="s">
        <v>4485</v>
      </c>
      <c r="AJ91" s="117">
        <v>2648000</v>
      </c>
      <c r="AK91" s="20">
        <v>1</v>
      </c>
      <c r="AL91" s="99">
        <f t="shared" si="20"/>
        <v>217</v>
      </c>
      <c r="AM91" s="117">
        <f t="shared" si="11"/>
        <v>574616000</v>
      </c>
      <c r="AN91" s="20" t="s">
        <v>4486</v>
      </c>
      <c r="AU91" s="96" t="s">
        <v>25</v>
      </c>
    </row>
    <row r="92" spans="4:52">
      <c r="D92" s="32" t="s">
        <v>319</v>
      </c>
      <c r="E92" s="1">
        <v>20000</v>
      </c>
      <c r="F92" s="96"/>
      <c r="G92" s="96"/>
      <c r="H92" s="96"/>
      <c r="I92" s="96"/>
      <c r="J92" s="96"/>
      <c r="K92" s="96"/>
      <c r="L92" s="96"/>
      <c r="M92" s="96"/>
      <c r="N92" s="96"/>
      <c r="P92" s="115"/>
      <c r="Q92" s="35">
        <v>1429825</v>
      </c>
      <c r="R92" s="5" t="s">
        <v>4371</v>
      </c>
      <c r="S92" s="5">
        <f>S91-7</f>
        <v>249</v>
      </c>
      <c r="T92" s="5" t="s">
        <v>4380</v>
      </c>
      <c r="U92" s="168">
        <v>203.9</v>
      </c>
      <c r="V92" s="99">
        <f t="shared" si="22"/>
        <v>245.94697315068495</v>
      </c>
      <c r="W92" s="32">
        <f t="shared" si="23"/>
        <v>250.86591261369867</v>
      </c>
      <c r="X92" s="32">
        <f t="shared" si="24"/>
        <v>255.78485207671235</v>
      </c>
      <c r="Z92" s="115"/>
      <c r="AA92" s="115"/>
      <c r="AE92"/>
      <c r="AG92" s="96"/>
      <c r="AH92" s="20">
        <v>72</v>
      </c>
      <c r="AI92" s="117" t="s">
        <v>4231</v>
      </c>
      <c r="AJ92" s="117">
        <v>615000</v>
      </c>
      <c r="AK92" s="20">
        <v>4</v>
      </c>
      <c r="AL92" s="99">
        <f t="shared" si="20"/>
        <v>216</v>
      </c>
      <c r="AM92" s="117">
        <f t="shared" si="11"/>
        <v>132840000</v>
      </c>
      <c r="AN92" s="20"/>
      <c r="AV92" t="s">
        <v>25</v>
      </c>
    </row>
    <row r="93" spans="4:52">
      <c r="D93" s="32" t="s">
        <v>320</v>
      </c>
      <c r="E93" s="1">
        <v>40000</v>
      </c>
      <c r="F93" s="96"/>
      <c r="G93" s="96"/>
      <c r="H93" s="96"/>
      <c r="I93" s="96"/>
      <c r="J93" s="96"/>
      <c r="K93" s="96"/>
      <c r="L93" s="96"/>
      <c r="M93" s="96"/>
      <c r="N93" s="96"/>
      <c r="Q93" s="35">
        <v>1420747</v>
      </c>
      <c r="R93" s="5" t="s">
        <v>4371</v>
      </c>
      <c r="S93" s="5">
        <f>S92</f>
        <v>249</v>
      </c>
      <c r="T93" s="5" t="s">
        <v>4382</v>
      </c>
      <c r="U93" s="168">
        <v>203.1</v>
      </c>
      <c r="V93" s="99">
        <f t="shared" si="22"/>
        <v>244.98200219178082</v>
      </c>
      <c r="W93" s="32">
        <f t="shared" si="23"/>
        <v>249.88164223561645</v>
      </c>
      <c r="X93" s="32">
        <f t="shared" si="24"/>
        <v>254.78128227945206</v>
      </c>
      <c r="Z93" s="115"/>
      <c r="AA93" s="115"/>
      <c r="AE93"/>
      <c r="AG93" s="96"/>
      <c r="AH93" s="20">
        <v>73</v>
      </c>
      <c r="AI93" s="117" t="s">
        <v>4496</v>
      </c>
      <c r="AJ93" s="117">
        <v>14000000</v>
      </c>
      <c r="AK93" s="20">
        <v>2</v>
      </c>
      <c r="AL93" s="99">
        <f>AL94+AK93</f>
        <v>212</v>
      </c>
      <c r="AM93" s="117">
        <f t="shared" si="11"/>
        <v>2968000000</v>
      </c>
      <c r="AN93" s="20"/>
    </row>
    <row r="94" spans="4:52">
      <c r="D94" s="32" t="s">
        <v>322</v>
      </c>
      <c r="E94" s="1">
        <v>150000</v>
      </c>
      <c r="K94" s="96"/>
      <c r="L94" s="96"/>
      <c r="M94" s="96"/>
      <c r="N94" s="96"/>
      <c r="Q94" s="35">
        <v>2010885</v>
      </c>
      <c r="R94" s="5" t="s">
        <v>4391</v>
      </c>
      <c r="S94" s="5">
        <f>S93-3</f>
        <v>246</v>
      </c>
      <c r="T94" s="5" t="s">
        <v>4396</v>
      </c>
      <c r="U94" s="168">
        <v>202.1</v>
      </c>
      <c r="V94" s="99">
        <f t="shared" si="22"/>
        <v>243.31068164383564</v>
      </c>
      <c r="W94" s="32">
        <f t="shared" si="23"/>
        <v>248.17689527671234</v>
      </c>
      <c r="X94" s="32">
        <f t="shared" si="24"/>
        <v>253.04310890958908</v>
      </c>
      <c r="Y94">
        <v>961521</v>
      </c>
      <c r="AH94" s="20">
        <v>74</v>
      </c>
      <c r="AI94" s="117" t="s">
        <v>4500</v>
      </c>
      <c r="AJ94" s="117">
        <v>1313000</v>
      </c>
      <c r="AK94" s="20">
        <v>0</v>
      </c>
      <c r="AL94" s="99">
        <f>AL95+AK94</f>
        <v>210</v>
      </c>
      <c r="AM94" s="117">
        <f t="shared" si="11"/>
        <v>275730000</v>
      </c>
      <c r="AN94" s="20"/>
      <c r="AQ94" t="s">
        <v>25</v>
      </c>
    </row>
    <row r="95" spans="4:52">
      <c r="D95" s="32" t="s">
        <v>324</v>
      </c>
      <c r="E95" s="1">
        <v>75000</v>
      </c>
      <c r="F95" s="96"/>
      <c r="G95" s="96"/>
      <c r="H95" s="96"/>
      <c r="I95" s="96"/>
      <c r="J95" s="96" t="s">
        <v>25</v>
      </c>
      <c r="K95" t="s">
        <v>25</v>
      </c>
      <c r="L95" s="96"/>
      <c r="M95" s="96"/>
      <c r="N95" s="96"/>
      <c r="Q95" s="35">
        <v>444</v>
      </c>
      <c r="R95" s="5" t="s">
        <v>4401</v>
      </c>
      <c r="S95" s="5">
        <f>S94-3</f>
        <v>243</v>
      </c>
      <c r="T95" s="5" t="s">
        <v>4603</v>
      </c>
      <c r="U95" s="168">
        <v>441.8</v>
      </c>
      <c r="V95" s="99">
        <f t="shared" si="22"/>
        <v>530.87172164383571</v>
      </c>
      <c r="W95" s="32">
        <f t="shared" si="23"/>
        <v>541.48915607671245</v>
      </c>
      <c r="X95" s="32">
        <f t="shared" si="24"/>
        <v>552.10659050958918</v>
      </c>
      <c r="Y95">
        <v>44349</v>
      </c>
      <c r="AH95" s="99">
        <v>75</v>
      </c>
      <c r="AI95" s="113" t="s">
        <v>4500</v>
      </c>
      <c r="AJ95" s="113">
        <v>2269000</v>
      </c>
      <c r="AK95" s="99">
        <v>1</v>
      </c>
      <c r="AL95" s="99">
        <f t="shared" ref="AL95:AL120" si="25">AL96+AK95</f>
        <v>210</v>
      </c>
      <c r="AM95" s="117">
        <f t="shared" si="11"/>
        <v>476490000</v>
      </c>
      <c r="AN95" s="99"/>
    </row>
    <row r="96" spans="4:52">
      <c r="D96" s="32" t="s">
        <v>314</v>
      </c>
      <c r="E96" s="1">
        <v>140000</v>
      </c>
      <c r="J96" t="s">
        <v>25</v>
      </c>
      <c r="Q96" s="35">
        <v>1971103</v>
      </c>
      <c r="R96" s="5" t="s">
        <v>4412</v>
      </c>
      <c r="S96" s="5">
        <f>S95-1</f>
        <v>242</v>
      </c>
      <c r="T96" s="5" t="s">
        <v>4413</v>
      </c>
      <c r="U96" s="168">
        <v>196.2</v>
      </c>
      <c r="V96" s="99">
        <f t="shared" si="22"/>
        <v>235.6055605479452</v>
      </c>
      <c r="W96" s="32">
        <f t="shared" si="23"/>
        <v>240.31767175890411</v>
      </c>
      <c r="X96" s="32">
        <f t="shared" si="24"/>
        <v>245.02978296986302</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Q97" s="35">
        <v>1049856</v>
      </c>
      <c r="R97" s="5" t="s">
        <v>4432</v>
      </c>
      <c r="S97" s="5">
        <f>S96-6</f>
        <v>236</v>
      </c>
      <c r="T97" s="5" t="s">
        <v>4471</v>
      </c>
      <c r="U97" s="168">
        <v>184.5</v>
      </c>
      <c r="V97" s="99">
        <f t="shared" si="22"/>
        <v>220.70648219178085</v>
      </c>
      <c r="W97" s="32">
        <f t="shared" si="23"/>
        <v>225.12061183561647</v>
      </c>
      <c r="X97" s="32">
        <f t="shared" si="24"/>
        <v>229.53474147945209</v>
      </c>
      <c r="Y97">
        <v>6980</v>
      </c>
      <c r="AH97" s="99">
        <v>77</v>
      </c>
      <c r="AI97" s="113" t="s">
        <v>4507</v>
      </c>
      <c r="AJ97" s="113">
        <v>1900000</v>
      </c>
      <c r="AK97" s="99">
        <v>3</v>
      </c>
      <c r="AL97" s="99">
        <f t="shared" si="25"/>
        <v>205</v>
      </c>
      <c r="AM97" s="117">
        <f t="shared" si="11"/>
        <v>389500000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1783234</v>
      </c>
      <c r="R98" s="5" t="s">
        <v>4434</v>
      </c>
      <c r="S98" s="5">
        <f>S97-2</f>
        <v>234</v>
      </c>
      <c r="T98" s="5" t="s">
        <v>4435</v>
      </c>
      <c r="U98" s="168">
        <v>177.5</v>
      </c>
      <c r="V98" s="99">
        <f t="shared" si="22"/>
        <v>212.06046575342467</v>
      </c>
      <c r="W98" s="32">
        <f t="shared" si="23"/>
        <v>216.30167506849315</v>
      </c>
      <c r="X98" s="32">
        <f t="shared" si="24"/>
        <v>220.54288438356167</v>
      </c>
      <c r="Y98">
        <v>6963</v>
      </c>
      <c r="AH98" s="99">
        <v>78</v>
      </c>
      <c r="AI98" s="113" t="s">
        <v>4520</v>
      </c>
      <c r="AJ98" s="113">
        <v>6400000</v>
      </c>
      <c r="AK98" s="99">
        <v>1</v>
      </c>
      <c r="AL98" s="99">
        <f t="shared" si="25"/>
        <v>202</v>
      </c>
      <c r="AM98" s="117">
        <f t="shared" si="11"/>
        <v>1292800000</v>
      </c>
      <c r="AN98" s="99"/>
      <c r="AT98" s="96" t="s">
        <v>25</v>
      </c>
    </row>
    <row r="99" spans="4:47">
      <c r="D99" s="2"/>
      <c r="E99" s="3"/>
      <c r="F99" s="199">
        <f>$L$107/G99</f>
        <v>17367.285282693138</v>
      </c>
      <c r="G99" s="199">
        <f>P45</f>
        <v>231.7</v>
      </c>
      <c r="H99" s="199" t="s">
        <v>4784</v>
      </c>
      <c r="I99" s="199" t="s">
        <v>4783</v>
      </c>
      <c r="J99" s="214" t="s">
        <v>4242</v>
      </c>
      <c r="K99" s="199">
        <v>164</v>
      </c>
      <c r="L99" s="215">
        <f t="shared" ref="L99:L104" si="26">K99*$L$107</f>
        <v>659936000</v>
      </c>
      <c r="M99" s="215">
        <f>N21+N28+N45</f>
        <v>1098501053.3</v>
      </c>
      <c r="N99" s="183">
        <f t="shared" ref="N99:N103" si="27">L99-M99</f>
        <v>-438565053.29999995</v>
      </c>
      <c r="Q99" s="35">
        <v>1662335</v>
      </c>
      <c r="R99" s="5" t="s">
        <v>4438</v>
      </c>
      <c r="S99" s="5">
        <f>S98-5</f>
        <v>229</v>
      </c>
      <c r="T99" s="218" t="s">
        <v>4586</v>
      </c>
      <c r="U99" s="168">
        <v>190.3</v>
      </c>
      <c r="V99" s="99">
        <f t="shared" si="22"/>
        <v>226.62279561643837</v>
      </c>
      <c r="W99" s="32">
        <f t="shared" si="23"/>
        <v>231.15525152876714</v>
      </c>
      <c r="X99" s="32">
        <f t="shared" si="24"/>
        <v>235.68770744109591</v>
      </c>
      <c r="Y99" s="96">
        <v>0</v>
      </c>
      <c r="AH99" s="99">
        <v>79</v>
      </c>
      <c r="AI99" s="113" t="s">
        <v>4518</v>
      </c>
      <c r="AJ99" s="113">
        <v>5000</v>
      </c>
      <c r="AK99" s="99">
        <v>5</v>
      </c>
      <c r="AL99" s="99">
        <f t="shared" si="25"/>
        <v>201</v>
      </c>
      <c r="AM99" s="117">
        <f t="shared" si="11"/>
        <v>1005000</v>
      </c>
      <c r="AN99" s="99"/>
      <c r="AP99" t="s">
        <v>25</v>
      </c>
    </row>
    <row r="100" spans="4:47">
      <c r="D100" s="2" t="s">
        <v>6</v>
      </c>
      <c r="E100" s="3">
        <f>SUM(E77:E98)</f>
        <v>3383333</v>
      </c>
      <c r="F100" s="213">
        <v>0</v>
      </c>
      <c r="G100" s="213">
        <v>0</v>
      </c>
      <c r="H100" s="213" t="s">
        <v>4969</v>
      </c>
      <c r="I100" s="213" t="s">
        <v>4970</v>
      </c>
      <c r="J100" s="32" t="s">
        <v>4393</v>
      </c>
      <c r="K100" s="213">
        <v>0</v>
      </c>
      <c r="L100" s="1">
        <f t="shared" si="26"/>
        <v>0</v>
      </c>
      <c r="M100" s="1">
        <f>0</f>
        <v>0</v>
      </c>
      <c r="N100" s="113">
        <f t="shared" si="27"/>
        <v>0</v>
      </c>
      <c r="Q100" s="35">
        <v>2272487</v>
      </c>
      <c r="R100" s="5" t="s">
        <v>4596</v>
      </c>
      <c r="S100" s="5">
        <f>S99-42</f>
        <v>187</v>
      </c>
      <c r="T100" s="5" t="s">
        <v>4597</v>
      </c>
      <c r="U100" s="168">
        <v>174.9</v>
      </c>
      <c r="V100" s="99">
        <f t="shared" si="22"/>
        <v>202.64824438356169</v>
      </c>
      <c r="W100" s="32">
        <f t="shared" si="23"/>
        <v>206.70120927123293</v>
      </c>
      <c r="X100" s="32">
        <f t="shared" si="24"/>
        <v>210.75417415890416</v>
      </c>
      <c r="Y100" s="96">
        <v>9904</v>
      </c>
      <c r="AH100" s="99">
        <v>80</v>
      </c>
      <c r="AI100" s="113" t="s">
        <v>4550</v>
      </c>
      <c r="AJ100" s="113">
        <v>-1750148</v>
      </c>
      <c r="AK100" s="99">
        <v>1</v>
      </c>
      <c r="AL100" s="99">
        <f t="shared" si="25"/>
        <v>196</v>
      </c>
      <c r="AM100" s="117">
        <f t="shared" si="11"/>
        <v>-343029008</v>
      </c>
      <c r="AN100" s="99"/>
    </row>
    <row r="101" spans="4:47">
      <c r="D101" s="2" t="s">
        <v>328</v>
      </c>
      <c r="E101" s="3">
        <f>E100/30</f>
        <v>112777.76666666666</v>
      </c>
      <c r="F101" s="199">
        <v>0</v>
      </c>
      <c r="G101" s="199">
        <v>0</v>
      </c>
      <c r="H101" s="199" t="s">
        <v>5149</v>
      </c>
      <c r="I101" s="199" t="s">
        <v>5148</v>
      </c>
      <c r="J101" s="214" t="s">
        <v>4389</v>
      </c>
      <c r="K101" s="199">
        <v>0</v>
      </c>
      <c r="L101" s="215">
        <f t="shared" si="26"/>
        <v>0</v>
      </c>
      <c r="M101" s="215">
        <f>0</f>
        <v>0</v>
      </c>
      <c r="N101" s="183">
        <f t="shared" si="27"/>
        <v>0</v>
      </c>
      <c r="Q101" s="35">
        <v>3975257</v>
      </c>
      <c r="R101" s="5" t="s">
        <v>4601</v>
      </c>
      <c r="S101" s="5">
        <f>S100-1</f>
        <v>186</v>
      </c>
      <c r="T101" s="5" t="s">
        <v>4602</v>
      </c>
      <c r="U101" s="168">
        <v>173</v>
      </c>
      <c r="V101" s="99">
        <f t="shared" si="22"/>
        <v>200.31409315068493</v>
      </c>
      <c r="W101" s="32">
        <f t="shared" si="23"/>
        <v>204.32037501369862</v>
      </c>
      <c r="X101" s="32">
        <f t="shared" si="24"/>
        <v>208.32665687671232</v>
      </c>
      <c r="Y101" s="96">
        <v>0</v>
      </c>
      <c r="AH101" s="99">
        <v>81</v>
      </c>
      <c r="AI101" s="113" t="s">
        <v>4553</v>
      </c>
      <c r="AJ101" s="113">
        <v>400000</v>
      </c>
      <c r="AK101" s="99">
        <v>0</v>
      </c>
      <c r="AL101" s="99">
        <f t="shared" si="25"/>
        <v>195</v>
      </c>
      <c r="AM101" s="117">
        <f t="shared" si="11"/>
        <v>78000000</v>
      </c>
      <c r="AN101" s="99"/>
    </row>
    <row r="102" spans="4:47">
      <c r="F102" s="213">
        <f>$L$107/G102</f>
        <v>5751.858204688393</v>
      </c>
      <c r="G102" s="213">
        <f>P43</f>
        <v>699.6</v>
      </c>
      <c r="H102" s="213" t="s">
        <v>4675</v>
      </c>
      <c r="I102" s="213" t="s">
        <v>4674</v>
      </c>
      <c r="J102" s="32" t="s">
        <v>4407</v>
      </c>
      <c r="K102" s="213">
        <v>54</v>
      </c>
      <c r="L102" s="1">
        <f t="shared" si="26"/>
        <v>217296000</v>
      </c>
      <c r="M102" s="1">
        <f>N43+N22</f>
        <v>245213298</v>
      </c>
      <c r="N102" s="113">
        <f t="shared" si="27"/>
        <v>-27917298</v>
      </c>
      <c r="Q102" s="35">
        <v>1031662</v>
      </c>
      <c r="R102" s="5" t="s">
        <v>4233</v>
      </c>
      <c r="S102" s="5">
        <f>S101-1</f>
        <v>185</v>
      </c>
      <c r="T102" s="5" t="s">
        <v>4605</v>
      </c>
      <c r="U102" s="168">
        <v>171.2</v>
      </c>
      <c r="V102" s="99">
        <f t="shared" si="22"/>
        <v>198.09856876712328</v>
      </c>
      <c r="W102" s="32">
        <f t="shared" si="23"/>
        <v>202.06054014246575</v>
      </c>
      <c r="X102" s="32">
        <f t="shared" si="24"/>
        <v>206.02251151780823</v>
      </c>
      <c r="Y102" s="96">
        <v>0</v>
      </c>
      <c r="AH102" s="99">
        <v>82</v>
      </c>
      <c r="AI102" s="113" t="s">
        <v>4553</v>
      </c>
      <c r="AJ102" s="113">
        <v>-2105421</v>
      </c>
      <c r="AK102" s="99">
        <v>1</v>
      </c>
      <c r="AL102" s="99">
        <f t="shared" si="25"/>
        <v>195</v>
      </c>
      <c r="AM102" s="117">
        <f t="shared" si="11"/>
        <v>-410557095</v>
      </c>
      <c r="AN102" s="99"/>
      <c r="AO102" t="s">
        <v>25</v>
      </c>
    </row>
    <row r="103" spans="4:47">
      <c r="F103" s="199"/>
      <c r="G103" s="199"/>
      <c r="H103" s="199"/>
      <c r="I103" s="199"/>
      <c r="J103" s="214" t="s">
        <v>4651</v>
      </c>
      <c r="K103" s="199">
        <v>1</v>
      </c>
      <c r="L103" s="215">
        <f t="shared" si="26"/>
        <v>4024000</v>
      </c>
      <c r="M103" s="215">
        <f>N41</f>
        <v>70255</v>
      </c>
      <c r="N103" s="183">
        <f t="shared" si="27"/>
        <v>3953745</v>
      </c>
      <c r="Q103" s="35">
        <v>577500</v>
      </c>
      <c r="R103" s="5" t="s">
        <v>4233</v>
      </c>
      <c r="S103" s="5">
        <f>S102</f>
        <v>185</v>
      </c>
      <c r="T103" s="5" t="s">
        <v>4609</v>
      </c>
      <c r="U103" s="168">
        <v>175</v>
      </c>
      <c r="V103" s="99">
        <f t="shared" si="22"/>
        <v>202.49561643835619</v>
      </c>
      <c r="W103" s="32">
        <f t="shared" si="23"/>
        <v>206.54552876712333</v>
      </c>
      <c r="X103" s="32">
        <f t="shared" si="24"/>
        <v>210.59544109589044</v>
      </c>
      <c r="Y103" s="96">
        <v>10000</v>
      </c>
      <c r="AH103" s="99">
        <v>83</v>
      </c>
      <c r="AI103" s="113" t="s">
        <v>4556</v>
      </c>
      <c r="AJ103" s="113">
        <v>-5527618</v>
      </c>
      <c r="AK103" s="99">
        <v>0</v>
      </c>
      <c r="AL103" s="99">
        <f t="shared" si="25"/>
        <v>194</v>
      </c>
      <c r="AM103" s="117">
        <f t="shared" si="11"/>
        <v>-1072357892</v>
      </c>
      <c r="AN103" s="99"/>
    </row>
    <row r="104" spans="4:47">
      <c r="F104" s="191"/>
      <c r="G104" s="191"/>
      <c r="H104" s="191"/>
      <c r="I104" s="191"/>
      <c r="J104" s="258" t="s">
        <v>5157</v>
      </c>
      <c r="K104" s="191">
        <v>104</v>
      </c>
      <c r="L104" s="259">
        <f t="shared" si="26"/>
        <v>418496000</v>
      </c>
      <c r="M104" s="259">
        <v>0</v>
      </c>
      <c r="N104" s="86">
        <f>L104-M104</f>
        <v>418496000</v>
      </c>
      <c r="Q104" s="35">
        <v>12636487</v>
      </c>
      <c r="R104" s="5" t="s">
        <v>3691</v>
      </c>
      <c r="S104" s="5">
        <f>S103-2</f>
        <v>183</v>
      </c>
      <c r="T104" s="5" t="s">
        <v>4612</v>
      </c>
      <c r="U104" s="168">
        <v>172.1</v>
      </c>
      <c r="V104" s="99">
        <f t="shared" si="22"/>
        <v>198.87593095890412</v>
      </c>
      <c r="W104" s="32">
        <f t="shared" si="23"/>
        <v>202.85344957808221</v>
      </c>
      <c r="X104" s="32">
        <f t="shared" si="24"/>
        <v>206.83096819726029</v>
      </c>
      <c r="Y104" s="96">
        <v>5664</v>
      </c>
      <c r="AH104" s="99">
        <v>84</v>
      </c>
      <c r="AI104" s="113" t="s">
        <v>4556</v>
      </c>
      <c r="AJ104" s="113">
        <v>3900000</v>
      </c>
      <c r="AK104" s="99">
        <v>3</v>
      </c>
      <c r="AL104" s="99">
        <f t="shared" si="25"/>
        <v>194</v>
      </c>
      <c r="AM104" s="117">
        <f t="shared" si="11"/>
        <v>756600000</v>
      </c>
      <c r="AN104" s="99"/>
    </row>
    <row r="105" spans="4:47">
      <c r="F105" s="213"/>
      <c r="G105" s="213"/>
      <c r="H105" s="213"/>
      <c r="I105" s="213"/>
      <c r="J105" s="32" t="s">
        <v>4758</v>
      </c>
      <c r="K105" s="213"/>
      <c r="L105" s="1"/>
      <c r="M105" s="1"/>
      <c r="N105" s="113">
        <v>30000000</v>
      </c>
      <c r="O105" t="s">
        <v>25</v>
      </c>
      <c r="Q105" s="169">
        <v>60508</v>
      </c>
      <c r="R105" s="168" t="s">
        <v>4615</v>
      </c>
      <c r="S105" s="168">
        <f>S104-3</f>
        <v>180</v>
      </c>
      <c r="T105" s="168" t="s">
        <v>4890</v>
      </c>
      <c r="U105" s="168">
        <v>1204.7</v>
      </c>
      <c r="V105" s="99">
        <f t="shared" si="22"/>
        <v>1389.3590564383564</v>
      </c>
      <c r="W105" s="32">
        <f t="shared" si="23"/>
        <v>1417.1462375671235</v>
      </c>
      <c r="X105" s="32">
        <f t="shared" si="24"/>
        <v>1444.9334186958909</v>
      </c>
      <c r="Y105" s="96">
        <v>10000</v>
      </c>
      <c r="AH105" s="99">
        <v>85</v>
      </c>
      <c r="AI105" s="113" t="s">
        <v>4557</v>
      </c>
      <c r="AJ105" s="113">
        <v>-3969754</v>
      </c>
      <c r="AK105" s="99">
        <v>1</v>
      </c>
      <c r="AL105" s="99">
        <f t="shared" si="25"/>
        <v>191</v>
      </c>
      <c r="AM105" s="117">
        <f t="shared" si="11"/>
        <v>-758223014</v>
      </c>
      <c r="AN105" s="99"/>
    </row>
    <row r="106" spans="4:47">
      <c r="F106" s="199"/>
      <c r="G106" s="199"/>
      <c r="H106" s="199"/>
      <c r="I106" s="199"/>
      <c r="J106" s="214" t="s">
        <v>4872</v>
      </c>
      <c r="K106" s="199">
        <f>SUM(K99:K104)</f>
        <v>323</v>
      </c>
      <c r="L106" s="215"/>
      <c r="M106" s="215"/>
      <c r="N106" s="183"/>
      <c r="Q106" s="39">
        <v>11121445</v>
      </c>
      <c r="R106" s="5" t="s">
        <v>4615</v>
      </c>
      <c r="S106" s="5">
        <f>S105</f>
        <v>180</v>
      </c>
      <c r="T106" s="5" t="s">
        <v>4796</v>
      </c>
      <c r="U106" s="168">
        <v>171.8</v>
      </c>
      <c r="V106" s="99">
        <f t="shared" si="22"/>
        <v>198.13388054794524</v>
      </c>
      <c r="W106" s="32">
        <f t="shared" si="23"/>
        <v>202.09655815890414</v>
      </c>
      <c r="X106" s="32">
        <f t="shared" si="24"/>
        <v>206.05923576986305</v>
      </c>
      <c r="Y106" s="96">
        <v>8695</v>
      </c>
      <c r="AH106" s="99">
        <v>86</v>
      </c>
      <c r="AI106" s="113" t="s">
        <v>4568</v>
      </c>
      <c r="AJ106" s="113">
        <v>-25574455</v>
      </c>
      <c r="AK106" s="99">
        <v>0</v>
      </c>
      <c r="AL106" s="99">
        <f t="shared" si="25"/>
        <v>190</v>
      </c>
      <c r="AM106" s="117">
        <f t="shared" si="11"/>
        <v>-4859146450</v>
      </c>
      <c r="AN106" s="99"/>
      <c r="AP106" t="s">
        <v>25</v>
      </c>
    </row>
    <row r="107" spans="4:47">
      <c r="F107" s="213"/>
      <c r="G107" s="213"/>
      <c r="H107" s="213" t="s">
        <v>25</v>
      </c>
      <c r="I107" s="213"/>
      <c r="J107" s="32"/>
      <c r="K107" s="213">
        <v>0</v>
      </c>
      <c r="L107" s="39">
        <f>10*P46</f>
        <v>4024000</v>
      </c>
      <c r="M107" s="1">
        <f>K107*L107</f>
        <v>0</v>
      </c>
      <c r="N107" s="113">
        <f>SUM(N99:N105)-M107</f>
        <v>-14032606.299999952</v>
      </c>
      <c r="P107" s="114"/>
      <c r="Q107" s="35">
        <v>40048573</v>
      </c>
      <c r="R107" s="5" t="s">
        <v>4625</v>
      </c>
      <c r="S107" s="5">
        <f>S106-3</f>
        <v>177</v>
      </c>
      <c r="T107" s="5" t="s">
        <v>4629</v>
      </c>
      <c r="U107" s="168">
        <v>498.9</v>
      </c>
      <c r="V107" s="99">
        <f t="shared" si="22"/>
        <v>574.22433205479456</v>
      </c>
      <c r="W107" s="32">
        <f t="shared" ref="W107:W141" si="28">V107*(1+$W$19/100)</f>
        <v>585.7088186958905</v>
      </c>
      <c r="X107" s="32">
        <f t="shared" ref="X107:X141" si="29">V107*(1+$X$19/100)</f>
        <v>597.19330533698633</v>
      </c>
      <c r="Y107" s="96"/>
      <c r="AH107" s="99">
        <v>87</v>
      </c>
      <c r="AI107" s="113" t="s">
        <v>4568</v>
      </c>
      <c r="AJ107" s="113">
        <v>4000000</v>
      </c>
      <c r="AK107" s="99">
        <v>1</v>
      </c>
      <c r="AL107" s="99">
        <f t="shared" si="25"/>
        <v>190</v>
      </c>
      <c r="AM107" s="117">
        <f t="shared" si="11"/>
        <v>760000000</v>
      </c>
      <c r="AN107" s="99"/>
    </row>
    <row r="108" spans="4:47">
      <c r="F108" s="199"/>
      <c r="G108" s="199"/>
      <c r="H108" s="199"/>
      <c r="I108" s="199"/>
      <c r="J108" s="214"/>
      <c r="K108" s="245"/>
      <c r="L108" s="215" t="s">
        <v>4252</v>
      </c>
      <c r="M108" s="215" t="s">
        <v>4659</v>
      </c>
      <c r="N108" s="183" t="s">
        <v>4660</v>
      </c>
      <c r="Q108" s="35">
        <v>559461</v>
      </c>
      <c r="R108" s="5" t="s">
        <v>4663</v>
      </c>
      <c r="S108" s="5">
        <f>S107-7</f>
        <v>170</v>
      </c>
      <c r="T108" s="5" t="s">
        <v>4670</v>
      </c>
      <c r="U108" s="210">
        <v>508.1</v>
      </c>
      <c r="V108" s="99">
        <f t="shared" si="22"/>
        <v>582.08492821917821</v>
      </c>
      <c r="W108" s="32">
        <f t="shared" si="28"/>
        <v>593.72662678356176</v>
      </c>
      <c r="X108" s="32">
        <f t="shared" si="29"/>
        <v>605.36832534794542</v>
      </c>
      <c r="Y108" s="96"/>
      <c r="AH108" s="99">
        <v>88</v>
      </c>
      <c r="AI108" s="113" t="s">
        <v>994</v>
      </c>
      <c r="AJ108" s="113">
        <v>-5000000</v>
      </c>
      <c r="AK108" s="99">
        <v>2</v>
      </c>
      <c r="AL108" s="99">
        <f t="shared" si="25"/>
        <v>189</v>
      </c>
      <c r="AM108" s="117">
        <f t="shared" si="11"/>
        <v>-945000000</v>
      </c>
      <c r="AN108" s="99"/>
    </row>
    <row r="109" spans="4:47">
      <c r="F109" s="213"/>
      <c r="G109" s="213"/>
      <c r="H109" s="213"/>
      <c r="I109" s="213"/>
      <c r="J109" s="32" t="s">
        <v>4666</v>
      </c>
      <c r="K109" s="213"/>
      <c r="L109" s="1"/>
      <c r="M109" s="1"/>
      <c r="N109" s="113"/>
      <c r="Q109" s="35">
        <v>622942</v>
      </c>
      <c r="R109" s="5" t="s">
        <v>4676</v>
      </c>
      <c r="S109" s="5">
        <f>S108-1</f>
        <v>169</v>
      </c>
      <c r="T109" s="5" t="s">
        <v>4677</v>
      </c>
      <c r="U109" s="210">
        <v>503.3</v>
      </c>
      <c r="V109" s="99">
        <f t="shared" si="22"/>
        <v>576.19990246575355</v>
      </c>
      <c r="W109" s="32">
        <f t="shared" si="28"/>
        <v>587.72390051506864</v>
      </c>
      <c r="X109" s="32">
        <f t="shared" si="29"/>
        <v>599.24789856438372</v>
      </c>
      <c r="Y109" s="96"/>
      <c r="AD109" s="96"/>
      <c r="AE109"/>
      <c r="AF109"/>
      <c r="AH109" s="99">
        <v>89</v>
      </c>
      <c r="AI109" s="113" t="s">
        <v>4573</v>
      </c>
      <c r="AJ109" s="113">
        <v>10000000</v>
      </c>
      <c r="AK109" s="99">
        <v>4</v>
      </c>
      <c r="AL109" s="99">
        <f t="shared" si="25"/>
        <v>187</v>
      </c>
      <c r="AM109" s="117">
        <f t="shared" si="11"/>
        <v>1870000000</v>
      </c>
      <c r="AN109" s="99"/>
    </row>
    <row r="110" spans="4:47">
      <c r="M110" t="s">
        <v>25</v>
      </c>
      <c r="Q110" s="35">
        <v>1472140</v>
      </c>
      <c r="R110" s="5" t="s">
        <v>4682</v>
      </c>
      <c r="S110" s="5">
        <f>S109-3</f>
        <v>166</v>
      </c>
      <c r="T110" s="5" t="s">
        <v>4684</v>
      </c>
      <c r="U110" s="168">
        <v>502</v>
      </c>
      <c r="V110" s="99">
        <f t="shared" si="22"/>
        <v>573.55631780821921</v>
      </c>
      <c r="W110" s="32">
        <f t="shared" si="28"/>
        <v>585.02744416438361</v>
      </c>
      <c r="X110" s="32">
        <f t="shared" si="29"/>
        <v>596.49857052054801</v>
      </c>
      <c r="AH110" s="99">
        <v>90</v>
      </c>
      <c r="AI110" s="113" t="s">
        <v>4575</v>
      </c>
      <c r="AJ110" s="113">
        <v>-5241937</v>
      </c>
      <c r="AK110" s="99">
        <v>0</v>
      </c>
      <c r="AL110" s="99">
        <f t="shared" si="25"/>
        <v>183</v>
      </c>
      <c r="AM110" s="117">
        <f t="shared" si="11"/>
        <v>-959274471</v>
      </c>
      <c r="AN110" s="99"/>
    </row>
    <row r="111" spans="4:47">
      <c r="P111" s="114"/>
      <c r="Q111" s="35">
        <v>4394591</v>
      </c>
      <c r="R111" s="5" t="s">
        <v>4686</v>
      </c>
      <c r="S111" s="5">
        <f>S110-1</f>
        <v>165</v>
      </c>
      <c r="T111" s="5" t="s">
        <v>4687</v>
      </c>
      <c r="U111" s="168">
        <v>481.7</v>
      </c>
      <c r="V111" s="99">
        <f t="shared" si="22"/>
        <v>549.99318246575342</v>
      </c>
      <c r="W111" s="32">
        <f t="shared" si="28"/>
        <v>560.99304611506852</v>
      </c>
      <c r="X111" s="32">
        <f t="shared" si="29"/>
        <v>571.99290976438363</v>
      </c>
      <c r="AH111" s="99">
        <v>91</v>
      </c>
      <c r="AI111" s="113" t="s">
        <v>4575</v>
      </c>
      <c r="AJ111" s="113">
        <v>21900000</v>
      </c>
      <c r="AK111" s="99">
        <v>2</v>
      </c>
      <c r="AL111" s="99">
        <f t="shared" si="25"/>
        <v>183</v>
      </c>
      <c r="AM111" s="117">
        <f t="shared" si="11"/>
        <v>4007700000</v>
      </c>
      <c r="AN111" s="99"/>
      <c r="AP111" t="s">
        <v>25</v>
      </c>
      <c r="AU111"/>
    </row>
    <row r="112" spans="4:47">
      <c r="K112" s="168" t="s">
        <v>4535</v>
      </c>
      <c r="L112" s="168" t="s">
        <v>4536</v>
      </c>
      <c r="M112" s="168" t="s">
        <v>4430</v>
      </c>
      <c r="N112" s="56" t="s">
        <v>190</v>
      </c>
      <c r="Q112" s="117">
        <v>5924703</v>
      </c>
      <c r="R112" s="19" t="s">
        <v>4709</v>
      </c>
      <c r="S112" s="19">
        <f>S111-13</f>
        <v>152</v>
      </c>
      <c r="T112" s="19" t="s">
        <v>4785</v>
      </c>
      <c r="U112" s="213">
        <v>489</v>
      </c>
      <c r="V112" s="99">
        <f t="shared" si="22"/>
        <v>553.45153972602748</v>
      </c>
      <c r="W112" s="32">
        <f t="shared" si="28"/>
        <v>564.52057052054806</v>
      </c>
      <c r="X112" s="32">
        <f t="shared" si="29"/>
        <v>575.58960131506865</v>
      </c>
      <c r="Y112">
        <v>13000</v>
      </c>
      <c r="AH112" s="99">
        <v>92</v>
      </c>
      <c r="AI112" s="113" t="s">
        <v>4583</v>
      </c>
      <c r="AJ112" s="113">
        <v>-15000000</v>
      </c>
      <c r="AK112" s="99">
        <v>0</v>
      </c>
      <c r="AL112" s="99">
        <f t="shared" si="25"/>
        <v>181</v>
      </c>
      <c r="AM112" s="117">
        <f t="shared" si="11"/>
        <v>-2715000000</v>
      </c>
      <c r="AN112" s="99"/>
      <c r="AO112" t="s">
        <v>25</v>
      </c>
    </row>
    <row r="113" spans="6:46">
      <c r="H113" s="114"/>
      <c r="K113" s="168" t="s">
        <v>4242</v>
      </c>
      <c r="L113" s="169">
        <v>1100000</v>
      </c>
      <c r="M113" s="169">
        <v>1637000</v>
      </c>
      <c r="N113" s="168">
        <f t="shared" ref="N113:N121" si="30">(M113-L113)*100/L113</f>
        <v>48.81818181818182</v>
      </c>
      <c r="Q113" s="117">
        <v>153812</v>
      </c>
      <c r="R113" s="19" t="s">
        <v>4791</v>
      </c>
      <c r="S113" s="19">
        <f>S112-17</f>
        <v>135</v>
      </c>
      <c r="T113" s="19" t="s">
        <v>4792</v>
      </c>
      <c r="U113" s="213">
        <v>537.20000000000005</v>
      </c>
      <c r="V113" s="99">
        <f t="shared" si="22"/>
        <v>600.99875506849321</v>
      </c>
      <c r="W113" s="32">
        <f t="shared" si="28"/>
        <v>613.01873016986303</v>
      </c>
      <c r="X113" s="32">
        <f t="shared" si="29"/>
        <v>625.03870527123297</v>
      </c>
      <c r="Y113" t="s">
        <v>25</v>
      </c>
      <c r="AH113" s="99">
        <v>93</v>
      </c>
      <c r="AI113" s="113" t="s">
        <v>4583</v>
      </c>
      <c r="AJ113" s="113">
        <v>3000000</v>
      </c>
      <c r="AK113" s="99">
        <v>1</v>
      </c>
      <c r="AL113" s="99">
        <f t="shared" si="25"/>
        <v>181</v>
      </c>
      <c r="AM113" s="117">
        <f t="shared" si="11"/>
        <v>543000000</v>
      </c>
      <c r="AN113" s="99"/>
    </row>
    <row r="114" spans="6:46">
      <c r="F114" s="96"/>
      <c r="G114" s="213"/>
      <c r="H114" s="213"/>
      <c r="I114" s="213" t="s">
        <v>5128</v>
      </c>
      <c r="J114" s="1">
        <v>16404873</v>
      </c>
      <c r="K114" s="5" t="s">
        <v>4530</v>
      </c>
      <c r="L114" s="169">
        <v>1100000</v>
      </c>
      <c r="M114" s="169">
        <v>4748000</v>
      </c>
      <c r="N114" s="168">
        <f t="shared" si="30"/>
        <v>331.63636363636363</v>
      </c>
      <c r="Q114" s="169">
        <v>6150141</v>
      </c>
      <c r="R114" s="213" t="s">
        <v>4880</v>
      </c>
      <c r="S114" s="213">
        <f>S113-34</f>
        <v>101</v>
      </c>
      <c r="T114" s="213" t="s">
        <v>4887</v>
      </c>
      <c r="U114" s="213">
        <v>180.6</v>
      </c>
      <c r="V114" s="99">
        <f t="shared" si="22"/>
        <v>197.33790904109591</v>
      </c>
      <c r="W114" s="32">
        <f t="shared" si="28"/>
        <v>201.28466722191783</v>
      </c>
      <c r="X114" s="32">
        <f t="shared" si="29"/>
        <v>205.23142540273975</v>
      </c>
      <c r="Y114" t="s">
        <v>25</v>
      </c>
      <c r="AH114" s="99">
        <v>94</v>
      </c>
      <c r="AI114" s="113" t="s">
        <v>4587</v>
      </c>
      <c r="AJ114" s="113">
        <v>-2103736</v>
      </c>
      <c r="AK114" s="99">
        <v>0</v>
      </c>
      <c r="AL114" s="99">
        <f t="shared" si="25"/>
        <v>180</v>
      </c>
      <c r="AM114" s="117">
        <f t="shared" si="11"/>
        <v>-378672480</v>
      </c>
      <c r="AN114" s="99"/>
    </row>
    <row r="115" spans="6:46">
      <c r="F115" s="96"/>
      <c r="G115" s="213" t="s">
        <v>941</v>
      </c>
      <c r="H115" s="213" t="s">
        <v>4535</v>
      </c>
      <c r="I115" s="213" t="s">
        <v>937</v>
      </c>
      <c r="J115" s="213" t="s">
        <v>4756</v>
      </c>
      <c r="K115" s="5" t="s">
        <v>4531</v>
      </c>
      <c r="L115" s="169">
        <v>1100000</v>
      </c>
      <c r="M115" s="169">
        <v>5137000</v>
      </c>
      <c r="N115" s="168">
        <f t="shared" si="30"/>
        <v>367</v>
      </c>
      <c r="Q115" s="169">
        <v>162112</v>
      </c>
      <c r="R115" s="213" t="s">
        <v>4900</v>
      </c>
      <c r="S115" s="213">
        <f>S114-7</f>
        <v>94</v>
      </c>
      <c r="T115" s="213" t="s">
        <v>4902</v>
      </c>
      <c r="U115" s="213">
        <v>632.79999999999995</v>
      </c>
      <c r="V115" s="99">
        <f t="shared" si="22"/>
        <v>688.04950794520551</v>
      </c>
      <c r="W115" s="32">
        <f t="shared" si="28"/>
        <v>701.81049810410968</v>
      </c>
      <c r="X115" s="32">
        <f t="shared" si="29"/>
        <v>715.57148826301375</v>
      </c>
      <c r="AH115" s="99">
        <v>95</v>
      </c>
      <c r="AI115" s="113" t="s">
        <v>4587</v>
      </c>
      <c r="AJ115" s="113">
        <v>220000</v>
      </c>
      <c r="AK115" s="99">
        <v>3</v>
      </c>
      <c r="AL115" s="99">
        <f t="shared" si="25"/>
        <v>180</v>
      </c>
      <c r="AM115" s="117">
        <f t="shared" si="11"/>
        <v>39600000</v>
      </c>
      <c r="AN115" s="99"/>
      <c r="AR115" s="96"/>
      <c r="AS115" s="96"/>
      <c r="AT115"/>
    </row>
    <row r="116" spans="6:46">
      <c r="F116" s="96"/>
      <c r="G116" s="1">
        <f>P45</f>
        <v>231.7</v>
      </c>
      <c r="H116" s="213" t="s">
        <v>4242</v>
      </c>
      <c r="I116" s="213">
        <v>151599</v>
      </c>
      <c r="J116" s="1">
        <f>I116*G116</f>
        <v>35125488.299999997</v>
      </c>
      <c r="K116" s="19" t="s">
        <v>4389</v>
      </c>
      <c r="L116" s="169">
        <v>1100000</v>
      </c>
      <c r="M116" s="169">
        <v>4300000</v>
      </c>
      <c r="N116" s="168">
        <f t="shared" si="30"/>
        <v>290.90909090909093</v>
      </c>
      <c r="P116" s="114"/>
      <c r="Q116" s="169">
        <v>1399908</v>
      </c>
      <c r="R116" s="213" t="s">
        <v>4955</v>
      </c>
      <c r="S116" s="213">
        <f>S115-13</f>
        <v>81</v>
      </c>
      <c r="T116" s="213" t="s">
        <v>4956</v>
      </c>
      <c r="U116" s="213">
        <v>194</v>
      </c>
      <c r="V116" s="99">
        <f t="shared" si="22"/>
        <v>209.00337534246577</v>
      </c>
      <c r="W116" s="32">
        <f t="shared" si="28"/>
        <v>213.1834428493151</v>
      </c>
      <c r="X116" s="32">
        <f t="shared" si="29"/>
        <v>217.36351035616443</v>
      </c>
      <c r="Y116">
        <v>23000</v>
      </c>
      <c r="AH116" s="99">
        <v>96</v>
      </c>
      <c r="AI116" s="113" t="s">
        <v>4596</v>
      </c>
      <c r="AJ116" s="113">
        <v>4000000</v>
      </c>
      <c r="AK116" s="99">
        <v>1</v>
      </c>
      <c r="AL116" s="99">
        <f t="shared" si="25"/>
        <v>177</v>
      </c>
      <c r="AM116" s="117">
        <f t="shared" si="11"/>
        <v>708000000</v>
      </c>
      <c r="AN116" s="99"/>
    </row>
    <row r="117" spans="6:46">
      <c r="F117" s="96"/>
      <c r="G117" s="1">
        <f>P42</f>
        <v>4000</v>
      </c>
      <c r="H117" s="213" t="s">
        <v>4389</v>
      </c>
      <c r="I117" s="213">
        <v>0</v>
      </c>
      <c r="J117" s="1">
        <f t="shared" ref="J117:J118" si="31">I117*G117</f>
        <v>0</v>
      </c>
      <c r="K117" s="5" t="s">
        <v>4407</v>
      </c>
      <c r="L117" s="169">
        <v>1100000</v>
      </c>
      <c r="M117" s="169">
        <v>3191000</v>
      </c>
      <c r="N117" s="168">
        <f t="shared" si="30"/>
        <v>190.09090909090909</v>
      </c>
      <c r="Q117" s="169">
        <v>1204033</v>
      </c>
      <c r="R117" s="213" t="s">
        <v>4965</v>
      </c>
      <c r="S117" s="213">
        <f>S116-7</f>
        <v>74</v>
      </c>
      <c r="T117" s="213" t="s">
        <v>4968</v>
      </c>
      <c r="U117" s="213">
        <v>218.5</v>
      </c>
      <c r="V117" s="99">
        <f t="shared" si="22"/>
        <v>234.22481643835619</v>
      </c>
      <c r="W117" s="32">
        <f t="shared" si="28"/>
        <v>238.90931276712331</v>
      </c>
      <c r="X117" s="32">
        <f t="shared" si="29"/>
        <v>243.59380909589044</v>
      </c>
      <c r="Y117">
        <v>6000</v>
      </c>
      <c r="AH117" s="99">
        <v>97</v>
      </c>
      <c r="AI117" s="113" t="s">
        <v>4601</v>
      </c>
      <c r="AJ117" s="113">
        <v>-9000000</v>
      </c>
      <c r="AK117" s="99">
        <v>0</v>
      </c>
      <c r="AL117" s="99">
        <f t="shared" si="25"/>
        <v>176</v>
      </c>
      <c r="AM117" s="117">
        <f t="shared" si="11"/>
        <v>-1584000000</v>
      </c>
      <c r="AN117" s="99"/>
      <c r="AP117" t="s">
        <v>25</v>
      </c>
    </row>
    <row r="118" spans="6:46">
      <c r="F118" s="96"/>
      <c r="G118" s="1">
        <f>P43</f>
        <v>699.6</v>
      </c>
      <c r="H118" s="213" t="s">
        <v>4407</v>
      </c>
      <c r="I118" s="213">
        <v>1205</v>
      </c>
      <c r="J118" s="1">
        <f t="shared" si="31"/>
        <v>843018</v>
      </c>
      <c r="K118" s="5" t="s">
        <v>4532</v>
      </c>
      <c r="L118" s="169">
        <v>1100000</v>
      </c>
      <c r="M118" s="169">
        <v>5623000</v>
      </c>
      <c r="N118" s="168">
        <f t="shared" si="30"/>
        <v>411.18181818181819</v>
      </c>
      <c r="Q118" s="169">
        <v>8382674</v>
      </c>
      <c r="R118" s="213" t="s">
        <v>4975</v>
      </c>
      <c r="S118" s="213">
        <f>S117-7</f>
        <v>67</v>
      </c>
      <c r="T118" s="213" t="s">
        <v>4981</v>
      </c>
      <c r="U118" s="213">
        <v>192</v>
      </c>
      <c r="V118" s="99">
        <f t="shared" si="22"/>
        <v>204.78667397260273</v>
      </c>
      <c r="W118" s="32">
        <f t="shared" si="28"/>
        <v>208.88240745205479</v>
      </c>
      <c r="X118" s="32">
        <f t="shared" si="29"/>
        <v>212.97814093150686</v>
      </c>
      <c r="AH118" s="99">
        <v>98</v>
      </c>
      <c r="AI118" s="113" t="s">
        <v>4601</v>
      </c>
      <c r="AJ118" s="113">
        <v>13900000</v>
      </c>
      <c r="AK118" s="99">
        <v>2</v>
      </c>
      <c r="AL118" s="99">
        <f t="shared" si="25"/>
        <v>176</v>
      </c>
      <c r="AM118" s="117">
        <f t="shared" si="11"/>
        <v>2446400000</v>
      </c>
      <c r="AN118" s="99"/>
    </row>
    <row r="119" spans="6:46">
      <c r="F119" s="96"/>
      <c r="G119" s="1"/>
      <c r="H119" s="213" t="s">
        <v>25</v>
      </c>
      <c r="I119" s="213"/>
      <c r="J119" s="1"/>
      <c r="K119" s="19" t="s">
        <v>4393</v>
      </c>
      <c r="L119" s="169">
        <v>1100000</v>
      </c>
      <c r="M119" s="169">
        <v>7728000</v>
      </c>
      <c r="N119" s="168">
        <f t="shared" si="30"/>
        <v>602.5454545454545</v>
      </c>
      <c r="Q119" s="169">
        <v>190884649</v>
      </c>
      <c r="R119" s="213" t="s">
        <v>4995</v>
      </c>
      <c r="S119" s="213">
        <f>S118-9</f>
        <v>58</v>
      </c>
      <c r="T119" s="213" t="s">
        <v>4998</v>
      </c>
      <c r="U119" s="213">
        <v>193.6</v>
      </c>
      <c r="V119" s="99">
        <f t="shared" si="22"/>
        <v>205.15659397260276</v>
      </c>
      <c r="W119" s="32">
        <f t="shared" si="28"/>
        <v>209.25972585205483</v>
      </c>
      <c r="X119" s="32">
        <f t="shared" si="29"/>
        <v>213.36285773150689</v>
      </c>
      <c r="Y119">
        <v>3300</v>
      </c>
      <c r="AH119" s="99">
        <v>99</v>
      </c>
      <c r="AI119" s="113" t="s">
        <v>4610</v>
      </c>
      <c r="AJ119" s="113">
        <v>-8127577</v>
      </c>
      <c r="AK119" s="99">
        <v>1</v>
      </c>
      <c r="AL119" s="99">
        <f t="shared" si="25"/>
        <v>174</v>
      </c>
      <c r="AM119" s="117">
        <f t="shared" si="11"/>
        <v>-1414198398</v>
      </c>
      <c r="AN119" s="99"/>
      <c r="AO119" t="s">
        <v>25</v>
      </c>
      <c r="AQ119" t="s">
        <v>25</v>
      </c>
    </row>
    <row r="120" spans="6:46">
      <c r="F120" s="96"/>
      <c r="G120" s="213"/>
      <c r="H120" s="213"/>
      <c r="I120" s="113">
        <f>J120-J114</f>
        <v>19563633.299999997</v>
      </c>
      <c r="J120" s="1">
        <f>SUM(J116:J118)</f>
        <v>35968506.299999997</v>
      </c>
      <c r="K120" s="5" t="s">
        <v>4534</v>
      </c>
      <c r="L120" s="169">
        <v>1100000</v>
      </c>
      <c r="M120" s="169">
        <v>2904000</v>
      </c>
      <c r="N120" s="168">
        <f t="shared" si="30"/>
        <v>164</v>
      </c>
      <c r="Q120" s="169">
        <v>2099962</v>
      </c>
      <c r="R120" s="213" t="s">
        <v>4997</v>
      </c>
      <c r="S120" s="213">
        <f>S119-1</f>
        <v>57</v>
      </c>
      <c r="T120" s="213" t="s">
        <v>5001</v>
      </c>
      <c r="U120" s="213">
        <v>196.5</v>
      </c>
      <c r="V120" s="99">
        <f t="shared" si="22"/>
        <v>208.07896438356164</v>
      </c>
      <c r="W120" s="32">
        <f t="shared" si="28"/>
        <v>212.24054367123287</v>
      </c>
      <c r="X120" s="32">
        <f t="shared" si="29"/>
        <v>216.4021229589041</v>
      </c>
      <c r="AH120" s="99">
        <v>100</v>
      </c>
      <c r="AI120" s="113" t="s">
        <v>3691</v>
      </c>
      <c r="AJ120" s="113">
        <v>15792549</v>
      </c>
      <c r="AK120" s="99">
        <v>3</v>
      </c>
      <c r="AL120" s="99">
        <f t="shared" si="25"/>
        <v>173</v>
      </c>
      <c r="AM120" s="117">
        <f t="shared" si="11"/>
        <v>2732110977</v>
      </c>
      <c r="AN120" s="99"/>
      <c r="AO120" t="s">
        <v>25</v>
      </c>
      <c r="AP120" t="s">
        <v>25</v>
      </c>
    </row>
    <row r="121" spans="6:46">
      <c r="G121" s="213"/>
      <c r="H121" s="213"/>
      <c r="I121" s="213" t="s">
        <v>916</v>
      </c>
      <c r="J121" s="213" t="s">
        <v>6</v>
      </c>
      <c r="K121" s="265" t="s">
        <v>1086</v>
      </c>
      <c r="L121" s="169">
        <v>1100000</v>
      </c>
      <c r="M121" s="169">
        <v>3400000</v>
      </c>
      <c r="N121" s="168">
        <f t="shared" si="30"/>
        <v>209.09090909090909</v>
      </c>
      <c r="P121" s="114"/>
      <c r="Q121" s="169">
        <v>130756</v>
      </c>
      <c r="R121" s="213" t="s">
        <v>5002</v>
      </c>
      <c r="S121" s="213">
        <f>S120-1</f>
        <v>56</v>
      </c>
      <c r="T121" s="213" t="s">
        <v>5003</v>
      </c>
      <c r="U121" s="213">
        <v>197.8</v>
      </c>
      <c r="V121" s="99">
        <f t="shared" ref="V121:V141" si="32">U121*(1+$R$85+$Q$15*S121/36500)</f>
        <v>209.30383123287675</v>
      </c>
      <c r="W121" s="32">
        <f t="shared" si="28"/>
        <v>213.48990785753429</v>
      </c>
      <c r="X121" s="32">
        <f t="shared" si="29"/>
        <v>217.67598448219184</v>
      </c>
      <c r="AH121" s="99">
        <v>101</v>
      </c>
      <c r="AI121" s="113" t="s">
        <v>4615</v>
      </c>
      <c r="AJ121" s="113">
        <v>8800000</v>
      </c>
      <c r="AK121" s="99">
        <v>0</v>
      </c>
      <c r="AL121" s="99">
        <f t="shared" ref="AL121:AL125" si="33">AL122+AK121</f>
        <v>170</v>
      </c>
      <c r="AM121" s="117">
        <f t="shared" ref="AM121:AM144" si="34">AJ121*AL121</f>
        <v>1496000000</v>
      </c>
      <c r="AN121" s="99"/>
      <c r="AP121" t="s">
        <v>25</v>
      </c>
    </row>
    <row r="122" spans="6:46" ht="45">
      <c r="K122" s="243" t="s">
        <v>4563</v>
      </c>
      <c r="Q122" s="169">
        <v>795874</v>
      </c>
      <c r="R122" s="213" t="s">
        <v>5016</v>
      </c>
      <c r="S122" s="213">
        <f>S121-6</f>
        <v>50</v>
      </c>
      <c r="T122" s="213" t="s">
        <v>5017</v>
      </c>
      <c r="U122" s="213">
        <v>198.1</v>
      </c>
      <c r="V122" s="99">
        <f t="shared" si="32"/>
        <v>208.7094761643836</v>
      </c>
      <c r="W122" s="32">
        <f t="shared" si="28"/>
        <v>212.88366568767128</v>
      </c>
      <c r="X122" s="32">
        <f t="shared" si="29"/>
        <v>217.05785521095896</v>
      </c>
      <c r="Y122" t="s">
        <v>25</v>
      </c>
      <c r="AH122" s="121">
        <v>102</v>
      </c>
      <c r="AI122" s="79" t="s">
        <v>4615</v>
      </c>
      <c r="AJ122" s="79">
        <v>13071612</v>
      </c>
      <c r="AK122" s="121">
        <v>1</v>
      </c>
      <c r="AL122" s="121">
        <f t="shared" si="33"/>
        <v>170</v>
      </c>
      <c r="AM122" s="79">
        <f t="shared" si="34"/>
        <v>2222174040</v>
      </c>
      <c r="AN122" s="205" t="s">
        <v>4616</v>
      </c>
    </row>
    <row r="123" spans="6:46">
      <c r="G123" s="99"/>
      <c r="H123" s="99"/>
      <c r="I123" s="99" t="s">
        <v>5111</v>
      </c>
      <c r="J123" s="1">
        <v>20000000</v>
      </c>
      <c r="K123" s="243" t="s">
        <v>4564</v>
      </c>
      <c r="Q123" s="169">
        <v>400348</v>
      </c>
      <c r="R123" s="213" t="s">
        <v>5019</v>
      </c>
      <c r="S123" s="213">
        <f>S122-1</f>
        <v>49</v>
      </c>
      <c r="T123" s="213" t="s">
        <v>5021</v>
      </c>
      <c r="U123" s="213">
        <v>199.3</v>
      </c>
      <c r="V123" s="99">
        <f t="shared" si="32"/>
        <v>209.82085589041097</v>
      </c>
      <c r="W123" s="32">
        <f t="shared" si="28"/>
        <v>214.01727300821918</v>
      </c>
      <c r="X123" s="32">
        <f t="shared" si="29"/>
        <v>218.21369012602742</v>
      </c>
      <c r="Y123" t="s">
        <v>25</v>
      </c>
      <c r="AH123" s="89">
        <v>103</v>
      </c>
      <c r="AI123" s="90" t="s">
        <v>4619</v>
      </c>
      <c r="AJ123" s="90">
        <v>16727037</v>
      </c>
      <c r="AK123" s="89">
        <v>0</v>
      </c>
      <c r="AL123" s="89">
        <f t="shared" si="33"/>
        <v>169</v>
      </c>
      <c r="AM123" s="90">
        <f t="shared" si="34"/>
        <v>2826869253</v>
      </c>
      <c r="AN123" s="89" t="s">
        <v>4626</v>
      </c>
    </row>
    <row r="124" spans="6:46">
      <c r="G124" s="1">
        <f>P45</f>
        <v>231.7</v>
      </c>
      <c r="H124" s="99" t="s">
        <v>4242</v>
      </c>
      <c r="I124" s="99">
        <v>89803</v>
      </c>
      <c r="J124" s="1">
        <f>G124*I124</f>
        <v>20807355.099999998</v>
      </c>
      <c r="K124" s="243" t="s">
        <v>4565</v>
      </c>
      <c r="Q124" s="169">
        <v>5896463</v>
      </c>
      <c r="R124" s="213" t="s">
        <v>5031</v>
      </c>
      <c r="S124" s="213">
        <f>S123-4</f>
        <v>45</v>
      </c>
      <c r="T124" s="213" t="s">
        <v>5032</v>
      </c>
      <c r="U124" s="213">
        <v>197.4</v>
      </c>
      <c r="V124" s="99">
        <f t="shared" si="32"/>
        <v>207.2148361643836</v>
      </c>
      <c r="W124" s="32">
        <f t="shared" si="28"/>
        <v>211.35913288767128</v>
      </c>
      <c r="X124" s="32">
        <f t="shared" si="29"/>
        <v>215.50342961095896</v>
      </c>
      <c r="Y124" s="122" t="s">
        <v>25</v>
      </c>
      <c r="AH124" s="99">
        <v>104</v>
      </c>
      <c r="AI124" s="113" t="s">
        <v>4619</v>
      </c>
      <c r="AJ124" s="113">
        <v>12000000</v>
      </c>
      <c r="AK124" s="99">
        <v>1</v>
      </c>
      <c r="AL124" s="99">
        <f t="shared" si="33"/>
        <v>169</v>
      </c>
      <c r="AM124" s="117">
        <f t="shared" si="34"/>
        <v>2028000000</v>
      </c>
      <c r="AN124" s="99" t="s">
        <v>4627</v>
      </c>
    </row>
    <row r="125" spans="6:46">
      <c r="G125" s="99"/>
      <c r="H125" s="99"/>
      <c r="I125" s="99"/>
      <c r="J125" s="99" t="s">
        <v>25</v>
      </c>
      <c r="Q125" s="169">
        <v>1499873</v>
      </c>
      <c r="R125" s="213" t="s">
        <v>5045</v>
      </c>
      <c r="S125" s="213">
        <f>S124-8</f>
        <v>37</v>
      </c>
      <c r="T125" s="213" t="s">
        <v>5049</v>
      </c>
      <c r="U125" s="213">
        <v>200.1</v>
      </c>
      <c r="V125" s="99">
        <f t="shared" si="32"/>
        <v>208.82107068493153</v>
      </c>
      <c r="W125" s="32">
        <f t="shared" si="28"/>
        <v>212.99749209863018</v>
      </c>
      <c r="X125" s="32">
        <f t="shared" si="29"/>
        <v>217.1739135123288</v>
      </c>
      <c r="AH125" s="89">
        <v>105</v>
      </c>
      <c r="AI125" s="90" t="s">
        <v>4546</v>
      </c>
      <c r="AJ125" s="90">
        <v>88697667</v>
      </c>
      <c r="AK125" s="89">
        <v>1</v>
      </c>
      <c r="AL125" s="89">
        <f t="shared" si="33"/>
        <v>168</v>
      </c>
      <c r="AM125" s="90">
        <f t="shared" si="34"/>
        <v>14901208056</v>
      </c>
      <c r="AN125" s="89" t="s">
        <v>4628</v>
      </c>
      <c r="AP125" t="s">
        <v>25</v>
      </c>
    </row>
    <row r="126" spans="6:46">
      <c r="G126" s="99"/>
      <c r="H126" s="99"/>
      <c r="I126" s="95">
        <f>J126-J123</f>
        <v>807355.09999999776</v>
      </c>
      <c r="J126" s="1">
        <f>SUM(J124:J125)</f>
        <v>20807355.099999998</v>
      </c>
      <c r="Q126" s="169">
        <v>25141103</v>
      </c>
      <c r="R126" s="213" t="s">
        <v>5071</v>
      </c>
      <c r="S126" s="213">
        <f>S125-7</f>
        <v>30</v>
      </c>
      <c r="T126" s="213" t="s">
        <v>5074</v>
      </c>
      <c r="U126" s="213">
        <v>211.3</v>
      </c>
      <c r="V126" s="99">
        <f t="shared" si="32"/>
        <v>219.37455452054797</v>
      </c>
      <c r="W126" s="32">
        <f t="shared" si="28"/>
        <v>223.76204561095895</v>
      </c>
      <c r="X126" s="32">
        <f t="shared" si="29"/>
        <v>228.1495367013699</v>
      </c>
      <c r="Y126" t="s">
        <v>25</v>
      </c>
      <c r="AH126" s="99">
        <v>106</v>
      </c>
      <c r="AI126" s="113" t="s">
        <v>4549</v>
      </c>
      <c r="AJ126" s="113">
        <v>101000</v>
      </c>
      <c r="AK126" s="99">
        <v>0</v>
      </c>
      <c r="AL126" s="99">
        <f>AL127+AK126</f>
        <v>167</v>
      </c>
      <c r="AM126" s="117">
        <f t="shared" si="34"/>
        <v>16867000</v>
      </c>
      <c r="AN126" s="99"/>
      <c r="AQ126" t="s">
        <v>25</v>
      </c>
    </row>
    <row r="127" spans="6:46">
      <c r="G127" s="99"/>
      <c r="H127" s="99"/>
      <c r="I127" s="99" t="s">
        <v>916</v>
      </c>
      <c r="J127" s="99" t="s">
        <v>6</v>
      </c>
      <c r="Q127" s="169">
        <v>120581</v>
      </c>
      <c r="R127" s="213" t="s">
        <v>5075</v>
      </c>
      <c r="S127" s="213">
        <f>S126-1</f>
        <v>29</v>
      </c>
      <c r="T127" s="213" t="s">
        <v>5076</v>
      </c>
      <c r="U127" s="213">
        <v>210.2</v>
      </c>
      <c r="V127" s="99">
        <f t="shared" si="32"/>
        <v>218.0712701369863</v>
      </c>
      <c r="W127" s="32">
        <f t="shared" si="28"/>
        <v>222.43269553972604</v>
      </c>
      <c r="X127" s="32">
        <f t="shared" si="29"/>
        <v>226.79412094246575</v>
      </c>
      <c r="AH127" s="149">
        <v>107</v>
      </c>
      <c r="AI127" s="188" t="s">
        <v>4625</v>
      </c>
      <c r="AJ127" s="188">
        <v>-48200</v>
      </c>
      <c r="AK127" s="149">
        <v>0</v>
      </c>
      <c r="AL127" s="149">
        <f t="shared" ref="AL127:AL179" si="35">AL128+AK127</f>
        <v>167</v>
      </c>
      <c r="AM127" s="188">
        <f t="shared" si="34"/>
        <v>-8049400</v>
      </c>
      <c r="AN127" s="149" t="s">
        <v>4634</v>
      </c>
    </row>
    <row r="128" spans="6:46">
      <c r="Q128" s="169">
        <v>500951</v>
      </c>
      <c r="R128" s="213" t="s">
        <v>5075</v>
      </c>
      <c r="S128" s="213">
        <f>S127</f>
        <v>29</v>
      </c>
      <c r="T128" s="213" t="s">
        <v>5080</v>
      </c>
      <c r="U128" s="213">
        <v>209.6</v>
      </c>
      <c r="V128" s="99">
        <f t="shared" si="32"/>
        <v>217.44880219178083</v>
      </c>
      <c r="W128" s="32">
        <f t="shared" si="28"/>
        <v>221.79777823561645</v>
      </c>
      <c r="X128" s="32">
        <f t="shared" si="29"/>
        <v>226.14675427945207</v>
      </c>
      <c r="AH128" s="89">
        <v>108</v>
      </c>
      <c r="AI128" s="90" t="s">
        <v>4625</v>
      </c>
      <c r="AJ128" s="90">
        <v>39327293</v>
      </c>
      <c r="AK128" s="89">
        <v>4</v>
      </c>
      <c r="AL128" s="149">
        <f t="shared" si="35"/>
        <v>167</v>
      </c>
      <c r="AM128" s="188">
        <f t="shared" si="34"/>
        <v>6567657931</v>
      </c>
      <c r="AN128" s="89" t="s">
        <v>4635</v>
      </c>
    </row>
    <row r="129" spans="6:43">
      <c r="G129" s="99"/>
      <c r="H129" s="99"/>
      <c r="I129" s="99" t="s">
        <v>5110</v>
      </c>
      <c r="J129" s="1">
        <v>9795000</v>
      </c>
      <c r="Q129" s="169">
        <v>493081</v>
      </c>
      <c r="R129" s="213" t="s">
        <v>5083</v>
      </c>
      <c r="S129" s="213">
        <f>S128-1</f>
        <v>28</v>
      </c>
      <c r="T129" s="213" t="s">
        <v>5085</v>
      </c>
      <c r="U129" s="213">
        <v>205.1</v>
      </c>
      <c r="V129" s="99">
        <f t="shared" si="32"/>
        <v>212.62295561643836</v>
      </c>
      <c r="W129" s="32">
        <f t="shared" si="28"/>
        <v>216.87541472876714</v>
      </c>
      <c r="X129" s="32">
        <f t="shared" si="29"/>
        <v>221.12787384109589</v>
      </c>
      <c r="Y129" t="s">
        <v>25</v>
      </c>
      <c r="AH129" s="89">
        <v>109</v>
      </c>
      <c r="AI129" s="90" t="s">
        <v>4649</v>
      </c>
      <c r="AJ129" s="90">
        <v>8749050</v>
      </c>
      <c r="AK129" s="89">
        <v>1</v>
      </c>
      <c r="AL129" s="89">
        <f t="shared" si="35"/>
        <v>163</v>
      </c>
      <c r="AM129" s="90">
        <f t="shared" si="34"/>
        <v>1426095150</v>
      </c>
      <c r="AN129" s="89" t="s">
        <v>4650</v>
      </c>
    </row>
    <row r="130" spans="6:43">
      <c r="G130" s="1">
        <f>P45</f>
        <v>231.7</v>
      </c>
      <c r="H130" s="99" t="s">
        <v>4242</v>
      </c>
      <c r="I130" s="99">
        <v>46582</v>
      </c>
      <c r="J130" s="1">
        <f>G130*I130</f>
        <v>10793049.4</v>
      </c>
      <c r="M130">
        <v>236</v>
      </c>
      <c r="N130">
        <v>3</v>
      </c>
      <c r="O130">
        <f>M130*N130</f>
        <v>708</v>
      </c>
      <c r="Q130" s="169">
        <v>43287917</v>
      </c>
      <c r="R130" s="213" t="s">
        <v>5087</v>
      </c>
      <c r="S130" s="213">
        <f>S129-3</f>
        <v>25</v>
      </c>
      <c r="T130" s="213" t="s">
        <v>5115</v>
      </c>
      <c r="U130" s="213">
        <v>203.6</v>
      </c>
      <c r="V130" s="99">
        <f t="shared" si="32"/>
        <v>210.5993775342466</v>
      </c>
      <c r="W130" s="32">
        <f t="shared" si="28"/>
        <v>214.81136508493154</v>
      </c>
      <c r="X130" s="32">
        <f t="shared" si="29"/>
        <v>219.02335263561648</v>
      </c>
      <c r="Z130" t="s">
        <v>25</v>
      </c>
      <c r="AH130" s="99">
        <v>110</v>
      </c>
      <c r="AI130" s="113" t="s">
        <v>4652</v>
      </c>
      <c r="AJ130" s="113">
        <v>60000</v>
      </c>
      <c r="AK130" s="99">
        <v>1</v>
      </c>
      <c r="AL130" s="99">
        <f t="shared" si="35"/>
        <v>162</v>
      </c>
      <c r="AM130" s="117">
        <f t="shared" si="34"/>
        <v>9720000</v>
      </c>
      <c r="AN130" s="99" t="s">
        <v>4653</v>
      </c>
    </row>
    <row r="131" spans="6:43">
      <c r="G131" s="99"/>
      <c r="H131" s="99"/>
      <c r="I131" s="99"/>
      <c r="J131" s="99"/>
      <c r="K131" t="s">
        <v>25</v>
      </c>
      <c r="M131">
        <v>126</v>
      </c>
      <c r="N131">
        <v>1</v>
      </c>
      <c r="O131">
        <f>M131*N131</f>
        <v>126</v>
      </c>
      <c r="Q131" s="169">
        <v>1324302</v>
      </c>
      <c r="R131" s="213" t="s">
        <v>5095</v>
      </c>
      <c r="S131" s="213">
        <f>S130-2</f>
        <v>23</v>
      </c>
      <c r="T131" s="213" t="s">
        <v>5100</v>
      </c>
      <c r="U131" s="213">
        <v>821.3</v>
      </c>
      <c r="V131" s="99">
        <f t="shared" si="32"/>
        <v>848.2746421917808</v>
      </c>
      <c r="W131" s="32">
        <f t="shared" si="28"/>
        <v>865.24013503561639</v>
      </c>
      <c r="X131" s="32">
        <f t="shared" si="29"/>
        <v>882.20562787945209</v>
      </c>
      <c r="Y131" t="s">
        <v>25</v>
      </c>
      <c r="AH131" s="20">
        <v>111</v>
      </c>
      <c r="AI131" s="117" t="s">
        <v>4661</v>
      </c>
      <c r="AJ131" s="117">
        <v>4750000</v>
      </c>
      <c r="AK131" s="20">
        <v>0</v>
      </c>
      <c r="AL131" s="99">
        <f t="shared" si="35"/>
        <v>161</v>
      </c>
      <c r="AM131" s="117">
        <f t="shared" si="34"/>
        <v>764750000</v>
      </c>
      <c r="AN131" s="20"/>
      <c r="AQ131" t="s">
        <v>25</v>
      </c>
    </row>
    <row r="132" spans="6:43">
      <c r="G132" s="99"/>
      <c r="H132" s="99"/>
      <c r="I132" s="1">
        <f>J132-J129</f>
        <v>998049.40000000037</v>
      </c>
      <c r="J132" s="1">
        <f>SUM(J130:J131)</f>
        <v>10793049.4</v>
      </c>
      <c r="L132">
        <v>821</v>
      </c>
      <c r="M132">
        <v>590</v>
      </c>
      <c r="N132">
        <v>0</v>
      </c>
      <c r="O132" s="96">
        <f>M132*N132</f>
        <v>0</v>
      </c>
      <c r="Q132" s="169">
        <v>3195995</v>
      </c>
      <c r="R132" s="213" t="s">
        <v>5123</v>
      </c>
      <c r="S132" s="213">
        <f>S131-9</f>
        <v>14</v>
      </c>
      <c r="T132" s="213" t="s">
        <v>5124</v>
      </c>
      <c r="U132" s="213">
        <v>228</v>
      </c>
      <c r="V132" s="99">
        <f t="shared" si="32"/>
        <v>233.91425753424662</v>
      </c>
      <c r="W132" s="32">
        <f t="shared" si="28"/>
        <v>238.59254268493154</v>
      </c>
      <c r="X132" s="32">
        <f t="shared" si="29"/>
        <v>243.2708278356165</v>
      </c>
      <c r="Y132" t="s">
        <v>25</v>
      </c>
      <c r="AH132" s="89">
        <v>112</v>
      </c>
      <c r="AI132" s="90" t="s">
        <v>4661</v>
      </c>
      <c r="AJ132" s="90">
        <v>13101160</v>
      </c>
      <c r="AK132" s="89">
        <v>1</v>
      </c>
      <c r="AL132" s="89">
        <f t="shared" si="35"/>
        <v>161</v>
      </c>
      <c r="AM132" s="90">
        <f t="shared" si="34"/>
        <v>2109286760</v>
      </c>
      <c r="AN132" s="89" t="s">
        <v>4664</v>
      </c>
    </row>
    <row r="133" spans="6:43">
      <c r="G133" s="99"/>
      <c r="H133" s="99"/>
      <c r="I133" s="99" t="s">
        <v>916</v>
      </c>
      <c r="J133" s="99" t="s">
        <v>6</v>
      </c>
      <c r="Q133" s="169">
        <v>55208153</v>
      </c>
      <c r="R133" s="213" t="s">
        <v>5123</v>
      </c>
      <c r="S133" s="213">
        <f>S132</f>
        <v>14</v>
      </c>
      <c r="T133" s="213" t="s">
        <v>5125</v>
      </c>
      <c r="U133" s="213">
        <v>709</v>
      </c>
      <c r="V133" s="99">
        <f t="shared" si="32"/>
        <v>727.39126575342482</v>
      </c>
      <c r="W133" s="32">
        <f t="shared" si="28"/>
        <v>741.93909106849333</v>
      </c>
      <c r="X133" s="32">
        <f t="shared" si="29"/>
        <v>756.48691638356183</v>
      </c>
      <c r="AH133" s="20">
        <v>113</v>
      </c>
      <c r="AI133" s="117" t="s">
        <v>4663</v>
      </c>
      <c r="AJ133" s="117">
        <v>-980000</v>
      </c>
      <c r="AK133" s="20">
        <v>0</v>
      </c>
      <c r="AL133" s="99">
        <f t="shared" si="35"/>
        <v>160</v>
      </c>
      <c r="AM133" s="117">
        <f t="shared" si="34"/>
        <v>-156800000</v>
      </c>
      <c r="AN133" s="20"/>
    </row>
    <row r="134" spans="6:43">
      <c r="O134">
        <f>O130+O131+O132</f>
        <v>834</v>
      </c>
      <c r="Q134" s="169">
        <v>29111</v>
      </c>
      <c r="R134" s="213" t="s">
        <v>5123</v>
      </c>
      <c r="S134" s="213">
        <f>S133</f>
        <v>14</v>
      </c>
      <c r="T134" s="213" t="s">
        <v>5127</v>
      </c>
      <c r="U134" s="213">
        <v>315</v>
      </c>
      <c r="V134" s="99">
        <f t="shared" si="32"/>
        <v>323.17101369863019</v>
      </c>
      <c r="W134" s="32">
        <f t="shared" si="28"/>
        <v>329.63443397260278</v>
      </c>
      <c r="X134" s="32">
        <f t="shared" si="29"/>
        <v>336.09785424657542</v>
      </c>
      <c r="Y134" t="s">
        <v>25</v>
      </c>
      <c r="AH134" s="89">
        <v>114</v>
      </c>
      <c r="AI134" s="90" t="s">
        <v>4663</v>
      </c>
      <c r="AJ134" s="90">
        <v>13301790</v>
      </c>
      <c r="AK134" s="89">
        <v>0</v>
      </c>
      <c r="AL134" s="89">
        <f t="shared" si="35"/>
        <v>160</v>
      </c>
      <c r="AM134" s="90">
        <f t="shared" si="34"/>
        <v>2128286400</v>
      </c>
      <c r="AN134" s="89" t="s">
        <v>4664</v>
      </c>
      <c r="AQ134" t="s">
        <v>25</v>
      </c>
    </row>
    <row r="135" spans="6:43">
      <c r="Q135" s="169">
        <v>1104645</v>
      </c>
      <c r="R135" s="213" t="s">
        <v>5130</v>
      </c>
      <c r="S135" s="213">
        <f>S134-3</f>
        <v>11</v>
      </c>
      <c r="T135" s="213" t="s">
        <v>5131</v>
      </c>
      <c r="U135" s="213">
        <v>682.3</v>
      </c>
      <c r="V135" s="99">
        <f t="shared" si="32"/>
        <v>698.42845041095893</v>
      </c>
      <c r="W135" s="32">
        <f t="shared" si="28"/>
        <v>712.39701941917815</v>
      </c>
      <c r="X135" s="32">
        <f t="shared" si="29"/>
        <v>726.36558842739726</v>
      </c>
      <c r="AH135" s="20">
        <v>115</v>
      </c>
      <c r="AI135" s="117" t="s">
        <v>4663</v>
      </c>
      <c r="AJ135" s="117">
        <v>404000</v>
      </c>
      <c r="AK135" s="20">
        <v>5</v>
      </c>
      <c r="AL135" s="99">
        <f t="shared" si="35"/>
        <v>160</v>
      </c>
      <c r="AM135" s="117">
        <f t="shared" si="34"/>
        <v>64640000</v>
      </c>
      <c r="AN135" s="20" t="s">
        <v>4671</v>
      </c>
    </row>
    <row r="136" spans="6:43">
      <c r="Q136" s="169">
        <v>836639</v>
      </c>
      <c r="R136" s="213" t="s">
        <v>5139</v>
      </c>
      <c r="S136" s="213">
        <f>S135-7</f>
        <v>4</v>
      </c>
      <c r="T136" s="213" t="s">
        <v>5143</v>
      </c>
      <c r="U136" s="213">
        <v>691.1</v>
      </c>
      <c r="V136" s="99">
        <f t="shared" si="32"/>
        <v>703.72535561643849</v>
      </c>
      <c r="W136" s="32">
        <f t="shared" si="28"/>
        <v>717.79986272876727</v>
      </c>
      <c r="X136" s="32">
        <f t="shared" si="29"/>
        <v>731.87436984109604</v>
      </c>
      <c r="Y136" t="s">
        <v>25</v>
      </c>
      <c r="AH136" s="89">
        <v>116</v>
      </c>
      <c r="AI136" s="90" t="s">
        <v>4686</v>
      </c>
      <c r="AJ136" s="90">
        <v>4291628</v>
      </c>
      <c r="AK136" s="89">
        <v>2</v>
      </c>
      <c r="AL136" s="89">
        <f t="shared" si="35"/>
        <v>155</v>
      </c>
      <c r="AM136" s="90">
        <f t="shared" si="34"/>
        <v>665202340</v>
      </c>
      <c r="AN136" s="89" t="s">
        <v>4688</v>
      </c>
    </row>
    <row r="137" spans="6:43">
      <c r="Q137" s="169">
        <v>5897690</v>
      </c>
      <c r="R137" s="213" t="s">
        <v>5139</v>
      </c>
      <c r="S137" s="213">
        <f>S136</f>
        <v>4</v>
      </c>
      <c r="T137" s="213" t="s">
        <v>5144</v>
      </c>
      <c r="U137" s="213">
        <v>236</v>
      </c>
      <c r="V137" s="99">
        <f t="shared" si="32"/>
        <v>240.31136438356168</v>
      </c>
      <c r="W137" s="32">
        <f t="shared" si="28"/>
        <v>245.11759167123293</v>
      </c>
      <c r="X137" s="32">
        <f t="shared" si="29"/>
        <v>249.92381895890415</v>
      </c>
      <c r="Z137" t="s">
        <v>25</v>
      </c>
      <c r="AH137" s="20">
        <v>117</v>
      </c>
      <c r="AI137" s="117" t="s">
        <v>4690</v>
      </c>
      <c r="AJ137" s="117">
        <v>1000</v>
      </c>
      <c r="AK137" s="20">
        <v>5</v>
      </c>
      <c r="AL137" s="20">
        <f t="shared" si="35"/>
        <v>153</v>
      </c>
      <c r="AM137" s="117">
        <f t="shared" si="34"/>
        <v>153000</v>
      </c>
      <c r="AN137" s="20"/>
    </row>
    <row r="138" spans="6:43">
      <c r="Q138" s="169">
        <v>232345</v>
      </c>
      <c r="R138" s="213" t="s">
        <v>5146</v>
      </c>
      <c r="S138" s="213">
        <f>S137-1</f>
        <v>3</v>
      </c>
      <c r="T138" s="213" t="s">
        <v>5147</v>
      </c>
      <c r="U138" s="213">
        <v>705.1</v>
      </c>
      <c r="V138" s="99">
        <f t="shared" si="32"/>
        <v>717.44021589041108</v>
      </c>
      <c r="W138" s="32">
        <f t="shared" ref="W138:W140" si="36">V138*(1+$W$19/100)</f>
        <v>731.78902020821931</v>
      </c>
      <c r="X138" s="32">
        <f t="shared" ref="X138:X140" si="37">V138*(1+$X$19/100)</f>
        <v>746.13782452602754</v>
      </c>
      <c r="Y138" t="s">
        <v>25</v>
      </c>
      <c r="AH138" s="121">
        <v>118</v>
      </c>
      <c r="AI138" s="79" t="s">
        <v>4698</v>
      </c>
      <c r="AJ138" s="79">
        <v>8739459</v>
      </c>
      <c r="AK138" s="121">
        <v>2</v>
      </c>
      <c r="AL138" s="121">
        <f t="shared" si="35"/>
        <v>148</v>
      </c>
      <c r="AM138" s="79">
        <f t="shared" si="34"/>
        <v>1293439932</v>
      </c>
      <c r="AN138" s="121" t="s">
        <v>4650</v>
      </c>
    </row>
    <row r="139" spans="6:43">
      <c r="P139" s="114"/>
      <c r="Q139" s="169">
        <v>1203628</v>
      </c>
      <c r="R139" s="213" t="s">
        <v>5150</v>
      </c>
      <c r="S139" s="213">
        <f>S138-1</f>
        <v>2</v>
      </c>
      <c r="T139" s="213" t="s">
        <v>5151</v>
      </c>
      <c r="U139" s="213">
        <v>235.1</v>
      </c>
      <c r="V139" s="99">
        <f t="shared" si="32"/>
        <v>239.03422136986305</v>
      </c>
      <c r="W139" s="32">
        <f t="shared" si="36"/>
        <v>243.81490579726031</v>
      </c>
      <c r="X139" s="32">
        <f t="shared" si="37"/>
        <v>248.59559022465757</v>
      </c>
      <c r="AH139" s="121">
        <v>119</v>
      </c>
      <c r="AI139" s="79" t="s">
        <v>4699</v>
      </c>
      <c r="AJ139" s="79">
        <v>17595278</v>
      </c>
      <c r="AK139" s="121">
        <v>1</v>
      </c>
      <c r="AL139" s="121">
        <f t="shared" si="35"/>
        <v>146</v>
      </c>
      <c r="AM139" s="79">
        <f t="shared" si="34"/>
        <v>2568910588</v>
      </c>
      <c r="AN139" s="121" t="s">
        <v>4701</v>
      </c>
      <c r="AQ139" t="s">
        <v>25</v>
      </c>
    </row>
    <row r="140" spans="6:43">
      <c r="Q140" s="169">
        <v>2598983</v>
      </c>
      <c r="R140" s="213" t="s">
        <v>5148</v>
      </c>
      <c r="S140" s="213">
        <f>S139-2</f>
        <v>0</v>
      </c>
      <c r="T140" s="213" t="s">
        <v>5160</v>
      </c>
      <c r="U140" s="213">
        <v>233.2</v>
      </c>
      <c r="V140" s="99">
        <f t="shared" si="32"/>
        <v>236.74464</v>
      </c>
      <c r="W140" s="32">
        <f t="shared" si="36"/>
        <v>241.47953280000002</v>
      </c>
      <c r="X140" s="32">
        <f t="shared" si="37"/>
        <v>246.2144256</v>
      </c>
      <c r="AH140" s="121">
        <v>120</v>
      </c>
      <c r="AI140" s="79" t="s">
        <v>4700</v>
      </c>
      <c r="AJ140" s="79">
        <v>13335309</v>
      </c>
      <c r="AK140" s="121">
        <v>13</v>
      </c>
      <c r="AL140" s="121">
        <f t="shared" si="35"/>
        <v>145</v>
      </c>
      <c r="AM140" s="79">
        <f t="shared" si="34"/>
        <v>1933619805</v>
      </c>
      <c r="AN140" s="121" t="s">
        <v>4664</v>
      </c>
    </row>
    <row r="141" spans="6:43">
      <c r="F141" t="s">
        <v>4824</v>
      </c>
      <c r="Q141" s="169"/>
      <c r="R141" s="168"/>
      <c r="S141" s="168"/>
      <c r="T141" s="168"/>
      <c r="U141" s="168"/>
      <c r="V141" s="99">
        <f t="shared" si="32"/>
        <v>0</v>
      </c>
      <c r="W141" s="32">
        <f t="shared" si="28"/>
        <v>0</v>
      </c>
      <c r="X141" s="32">
        <f t="shared" si="29"/>
        <v>0</v>
      </c>
      <c r="Y141" t="s">
        <v>25</v>
      </c>
      <c r="AA141" t="s">
        <v>25</v>
      </c>
      <c r="AH141" s="161">
        <v>121</v>
      </c>
      <c r="AI141" s="228" t="s">
        <v>4755</v>
      </c>
      <c r="AJ141" s="228">
        <v>50000000</v>
      </c>
      <c r="AK141" s="161">
        <v>11</v>
      </c>
      <c r="AL141" s="161">
        <f t="shared" si="35"/>
        <v>132</v>
      </c>
      <c r="AM141" s="228">
        <f t="shared" si="34"/>
        <v>6600000000</v>
      </c>
      <c r="AN141" s="161" t="s">
        <v>4757</v>
      </c>
      <c r="AP141" t="s">
        <v>25</v>
      </c>
    </row>
    <row r="142" spans="6:43">
      <c r="G142">
        <v>1200</v>
      </c>
      <c r="H142" t="s">
        <v>4825</v>
      </c>
      <c r="Q142" s="113">
        <f>SUM(N41:N46)-SUM(Q89:Q141)</f>
        <v>120829440.79999995</v>
      </c>
      <c r="R142" s="112"/>
      <c r="S142" s="112"/>
      <c r="T142" s="112"/>
      <c r="U142" s="168"/>
      <c r="V142" s="99" t="s">
        <v>25</v>
      </c>
      <c r="W142" s="32"/>
      <c r="X142" s="32"/>
      <c r="Y142" t="s">
        <v>25</v>
      </c>
      <c r="AH142" s="20">
        <v>122</v>
      </c>
      <c r="AI142" s="117" t="s">
        <v>974</v>
      </c>
      <c r="AJ142" s="117">
        <v>30000</v>
      </c>
      <c r="AK142" s="20">
        <v>3</v>
      </c>
      <c r="AL142" s="20">
        <f t="shared" si="35"/>
        <v>121</v>
      </c>
      <c r="AM142" s="117">
        <f t="shared" si="34"/>
        <v>3630000</v>
      </c>
      <c r="AN142" s="20"/>
    </row>
    <row r="143" spans="6:43">
      <c r="G143">
        <v>1350</v>
      </c>
      <c r="H143" t="s">
        <v>4826</v>
      </c>
      <c r="Q143" s="26"/>
      <c r="R143" s="181"/>
      <c r="S143" s="181"/>
      <c r="T143" t="s">
        <v>25</v>
      </c>
      <c r="U143" s="96" t="s">
        <v>25</v>
      </c>
      <c r="V143" s="96" t="s">
        <v>25</v>
      </c>
      <c r="W143" s="96" t="s">
        <v>25</v>
      </c>
      <c r="Y143" t="s">
        <v>25</v>
      </c>
      <c r="AH143" s="20">
        <v>123</v>
      </c>
      <c r="AI143" s="117" t="s">
        <v>4821</v>
      </c>
      <c r="AJ143" s="117">
        <v>600000</v>
      </c>
      <c r="AK143" s="20">
        <v>1</v>
      </c>
      <c r="AL143" s="20">
        <f t="shared" si="35"/>
        <v>118</v>
      </c>
      <c r="AM143" s="117">
        <f t="shared" si="34"/>
        <v>70800000</v>
      </c>
      <c r="AN143" s="20"/>
    </row>
    <row r="144" spans="6:43">
      <c r="G144">
        <v>1050</v>
      </c>
      <c r="H144" t="s">
        <v>4827</v>
      </c>
      <c r="R144" s="32" t="s">
        <v>4567</v>
      </c>
      <c r="S144" s="32" t="s">
        <v>950</v>
      </c>
      <c r="T144" t="s">
        <v>25</v>
      </c>
      <c r="U144" s="96" t="s">
        <v>25</v>
      </c>
      <c r="V144" s="96" t="s">
        <v>25</v>
      </c>
      <c r="W144" s="96" t="s">
        <v>25</v>
      </c>
      <c r="X144" s="122" t="s">
        <v>25</v>
      </c>
      <c r="Y144" t="s">
        <v>25</v>
      </c>
      <c r="AH144" s="20">
        <v>124</v>
      </c>
      <c r="AI144" s="117" t="s">
        <v>4828</v>
      </c>
      <c r="AJ144" s="117">
        <v>30000</v>
      </c>
      <c r="AK144" s="20">
        <v>3</v>
      </c>
      <c r="AL144" s="20">
        <f t="shared" si="35"/>
        <v>117</v>
      </c>
      <c r="AM144" s="117">
        <f t="shared" si="34"/>
        <v>3510000</v>
      </c>
      <c r="AN144" s="20"/>
    </row>
    <row r="145" spans="16:44">
      <c r="R145" s="32">
        <v>7422</v>
      </c>
      <c r="S145" s="234">
        <v>35272425</v>
      </c>
      <c r="U145" s="96" t="s">
        <v>25</v>
      </c>
      <c r="V145" s="122" t="s">
        <v>25</v>
      </c>
      <c r="W145" s="96" t="s">
        <v>25</v>
      </c>
      <c r="X145" t="s">
        <v>25</v>
      </c>
      <c r="AH145" s="20">
        <v>125</v>
      </c>
      <c r="AI145" s="117" t="s">
        <v>4835</v>
      </c>
      <c r="AJ145" s="117">
        <v>2250000</v>
      </c>
      <c r="AK145" s="20">
        <v>1</v>
      </c>
      <c r="AL145" s="20">
        <f t="shared" si="35"/>
        <v>114</v>
      </c>
      <c r="AM145" s="117">
        <f t="shared" ref="AM145:AM147" si="38">AJ145*AL145</f>
        <v>256500000</v>
      </c>
      <c r="AN145" s="20"/>
      <c r="AR145" t="s">
        <v>25</v>
      </c>
    </row>
    <row r="146" spans="16:44">
      <c r="Q146" t="s">
        <v>25</v>
      </c>
      <c r="R146" s="32">
        <v>2042</v>
      </c>
      <c r="S146" s="1">
        <f>S145*R146/R145</f>
        <v>9704431.6693613585</v>
      </c>
      <c r="U146" s="96" t="s">
        <v>25</v>
      </c>
      <c r="V146" s="122" t="s">
        <v>25</v>
      </c>
      <c r="W146" s="96" t="s">
        <v>25</v>
      </c>
      <c r="X146" t="s">
        <v>25</v>
      </c>
      <c r="AH146" s="23">
        <v>126</v>
      </c>
      <c r="AI146" s="35" t="s">
        <v>4840</v>
      </c>
      <c r="AJ146" s="35">
        <v>-31412200</v>
      </c>
      <c r="AK146" s="23">
        <v>1</v>
      </c>
      <c r="AL146" s="20">
        <f t="shared" si="35"/>
        <v>113</v>
      </c>
      <c r="AM146" s="35">
        <f t="shared" si="38"/>
        <v>-3549578600</v>
      </c>
      <c r="AN146" s="23" t="s">
        <v>4823</v>
      </c>
    </row>
    <row r="147" spans="16:44">
      <c r="R147" s="32">
        <f>R145-R146</f>
        <v>5380</v>
      </c>
      <c r="S147" s="1">
        <f>R147*S145/R145</f>
        <v>25567993.330638643</v>
      </c>
      <c r="T147" t="s">
        <v>25</v>
      </c>
      <c r="U147" s="122" t="s">
        <v>25</v>
      </c>
      <c r="V147" s="96"/>
      <c r="W147"/>
      <c r="X147" t="s">
        <v>25</v>
      </c>
      <c r="Z147" s="96"/>
      <c r="AH147" s="20">
        <v>127</v>
      </c>
      <c r="AI147" s="117" t="s">
        <v>4849</v>
      </c>
      <c r="AJ147" s="117">
        <v>70000</v>
      </c>
      <c r="AK147" s="20">
        <v>9</v>
      </c>
      <c r="AL147" s="20">
        <f t="shared" si="35"/>
        <v>112</v>
      </c>
      <c r="AM147" s="117">
        <f t="shared" si="38"/>
        <v>7840000</v>
      </c>
      <c r="AN147" s="20"/>
    </row>
    <row r="148" spans="16:44">
      <c r="V148" s="96"/>
      <c r="W148"/>
      <c r="X148" t="s">
        <v>25</v>
      </c>
      <c r="Z148" s="96"/>
      <c r="AH148" s="99">
        <v>128</v>
      </c>
      <c r="AI148" s="113" t="s">
        <v>4858</v>
      </c>
      <c r="AJ148" s="113">
        <v>20000</v>
      </c>
      <c r="AK148" s="99">
        <v>10</v>
      </c>
      <c r="AL148" s="20">
        <f t="shared" si="35"/>
        <v>103</v>
      </c>
      <c r="AM148" s="117">
        <f t="shared" ref="AM148:AM149" si="39">AJ148*AL148</f>
        <v>2060000</v>
      </c>
      <c r="AN148" s="20"/>
      <c r="AP148" t="s">
        <v>25</v>
      </c>
    </row>
    <row r="149" spans="16:44">
      <c r="Q149" s="99" t="s">
        <v>4457</v>
      </c>
      <c r="R149" s="99" t="s">
        <v>4459</v>
      </c>
      <c r="S149" s="99"/>
      <c r="T149" s="99" t="s">
        <v>4460</v>
      </c>
      <c r="U149" s="99"/>
      <c r="V149" s="99"/>
      <c r="W149" s="99" t="s">
        <v>4570</v>
      </c>
      <c r="Z149" s="96"/>
      <c r="AH149" s="99">
        <v>129</v>
      </c>
      <c r="AI149" s="113" t="s">
        <v>4879</v>
      </c>
      <c r="AJ149" s="113">
        <v>1000000</v>
      </c>
      <c r="AK149" s="99">
        <v>1</v>
      </c>
      <c r="AL149" s="20">
        <f t="shared" si="35"/>
        <v>93</v>
      </c>
      <c r="AM149" s="117">
        <f t="shared" si="39"/>
        <v>93000000</v>
      </c>
      <c r="AN149" s="20"/>
    </row>
    <row r="150" spans="16:44">
      <c r="Q150" s="113">
        <v>1000</v>
      </c>
      <c r="R150" s="99">
        <v>0.25</v>
      </c>
      <c r="S150" s="99"/>
      <c r="T150" s="99">
        <f>1-R150</f>
        <v>0.75</v>
      </c>
      <c r="U150" s="99"/>
      <c r="V150" s="99"/>
      <c r="W150" s="99"/>
      <c r="Y150" t="s">
        <v>25</v>
      </c>
      <c r="Z150" s="96"/>
      <c r="AA150" s="114"/>
      <c r="AC150" s="114"/>
      <c r="AD150" s="114"/>
      <c r="AH150" s="99">
        <v>130</v>
      </c>
      <c r="AI150" s="113" t="s">
        <v>4880</v>
      </c>
      <c r="AJ150" s="113">
        <v>65630227</v>
      </c>
      <c r="AK150" s="99">
        <v>0</v>
      </c>
      <c r="AL150" s="20">
        <f t="shared" si="35"/>
        <v>92</v>
      </c>
      <c r="AM150" s="117">
        <f t="shared" ref="AM150:AM179" si="40">AJ150*AL150</f>
        <v>6037980884</v>
      </c>
      <c r="AN150" s="20" t="s">
        <v>4884</v>
      </c>
      <c r="AP150" t="s">
        <v>25</v>
      </c>
      <c r="AR150" t="s">
        <v>25</v>
      </c>
    </row>
    <row r="151" spans="16:44">
      <c r="Q151" s="168" t="s">
        <v>4444</v>
      </c>
      <c r="R151" s="168" t="s">
        <v>4462</v>
      </c>
      <c r="S151" s="168" t="s">
        <v>4464</v>
      </c>
      <c r="T151" s="168"/>
      <c r="U151" s="168" t="s">
        <v>4458</v>
      </c>
      <c r="V151" s="56" t="s">
        <v>4461</v>
      </c>
      <c r="W151" s="99"/>
      <c r="X151" s="115"/>
      <c r="Z151" s="96"/>
      <c r="AA151" s="114"/>
      <c r="AC151" s="114"/>
      <c r="AH151" s="99">
        <v>131</v>
      </c>
      <c r="AI151" s="113" t="s">
        <v>4880</v>
      </c>
      <c r="AJ151" s="113">
        <v>-3500000</v>
      </c>
      <c r="AK151" s="99">
        <v>6</v>
      </c>
      <c r="AL151" s="20">
        <f t="shared" si="35"/>
        <v>92</v>
      </c>
      <c r="AM151" s="117">
        <f t="shared" si="40"/>
        <v>-322000000</v>
      </c>
      <c r="AN151" s="20" t="s">
        <v>4883</v>
      </c>
    </row>
    <row r="152" spans="16:44">
      <c r="P152" s="114"/>
      <c r="Q152" s="168" t="s">
        <v>751</v>
      </c>
      <c r="R152" s="56">
        <v>1748044</v>
      </c>
      <c r="S152" s="113">
        <f>R152*$T$258</f>
        <v>655474715.38061655</v>
      </c>
      <c r="T152" s="168"/>
      <c r="U152" s="168">
        <f>$Q$150*$T$150*S152/$R$179</f>
        <v>354.55364145279492</v>
      </c>
      <c r="V152" s="95">
        <f>S152+U152</f>
        <v>655475069.93425798</v>
      </c>
      <c r="W152" s="99">
        <f>R152*100/U255</f>
        <v>47.273818860372664</v>
      </c>
      <c r="X152" s="217"/>
      <c r="Y152" t="s">
        <v>25</v>
      </c>
      <c r="Z152" s="96"/>
      <c r="AA152" s="114"/>
      <c r="AC152" s="114"/>
      <c r="AD152" s="114"/>
      <c r="AH152" s="99">
        <v>132</v>
      </c>
      <c r="AI152" s="113" t="s">
        <v>4895</v>
      </c>
      <c r="AJ152" s="113">
        <v>2520000</v>
      </c>
      <c r="AK152" s="99">
        <v>12</v>
      </c>
      <c r="AL152" s="20">
        <f t="shared" si="35"/>
        <v>86</v>
      </c>
      <c r="AM152" s="117">
        <f t="shared" si="40"/>
        <v>216720000</v>
      </c>
      <c r="AN152" s="20"/>
    </row>
    <row r="153" spans="16:44">
      <c r="P153" s="114"/>
      <c r="Q153" s="168" t="s">
        <v>4446</v>
      </c>
      <c r="R153" s="56">
        <v>1699862</v>
      </c>
      <c r="S153" s="113">
        <f>R153*$T$258</f>
        <v>637407617.10593414</v>
      </c>
      <c r="T153" s="168"/>
      <c r="U153" s="213">
        <f>$Q$150*$T$150*S153/$R$179</f>
        <v>344.78094491170185</v>
      </c>
      <c r="V153" s="95">
        <f t="shared" ref="V153:V154" si="41">S153+U153</f>
        <v>637407961.88687909</v>
      </c>
      <c r="W153" s="99">
        <f>R153*100/U255</f>
        <v>45.970792654893586</v>
      </c>
      <c r="X153" s="115"/>
      <c r="Y153" s="96"/>
      <c r="Z153" s="96"/>
      <c r="AH153" s="99">
        <v>133</v>
      </c>
      <c r="AI153" s="113" t="s">
        <v>4932</v>
      </c>
      <c r="AJ153" s="113">
        <v>1400000</v>
      </c>
      <c r="AK153" s="99">
        <v>4</v>
      </c>
      <c r="AL153" s="20">
        <f t="shared" si="35"/>
        <v>74</v>
      </c>
      <c r="AM153" s="117">
        <f t="shared" si="40"/>
        <v>103600000</v>
      </c>
      <c r="AN153" s="20"/>
    </row>
    <row r="154" spans="16:44">
      <c r="P154" s="114"/>
      <c r="Q154" s="168" t="s">
        <v>4445</v>
      </c>
      <c r="R154" s="56">
        <v>52617</v>
      </c>
      <c r="S154" s="113">
        <f>R154*$T$258</f>
        <v>19730117.26202653</v>
      </c>
      <c r="T154" s="168"/>
      <c r="U154" s="213">
        <f>$Q$150*$T$150*S154/$R$179</f>
        <v>10.67224220461368</v>
      </c>
      <c r="V154" s="95">
        <f t="shared" si="41"/>
        <v>19730127.934268735</v>
      </c>
      <c r="W154" s="99">
        <f>R154*100/U255</f>
        <v>1.4229656272818239</v>
      </c>
      <c r="X154" s="115"/>
      <c r="Y154" s="96"/>
      <c r="Z154" s="96"/>
      <c r="AH154" s="99">
        <v>134</v>
      </c>
      <c r="AI154" s="113" t="s">
        <v>4959</v>
      </c>
      <c r="AJ154" s="113">
        <v>1550000</v>
      </c>
      <c r="AK154" s="99">
        <v>2</v>
      </c>
      <c r="AL154" s="20">
        <f t="shared" si="35"/>
        <v>70</v>
      </c>
      <c r="AM154" s="117">
        <f t="shared" si="40"/>
        <v>108500000</v>
      </c>
      <c r="AN154" s="20"/>
    </row>
    <row r="155" spans="16:44">
      <c r="P155">
        <f>R153+27344</f>
        <v>1727206</v>
      </c>
      <c r="Q155" s="168" t="s">
        <v>1087</v>
      </c>
      <c r="R155" s="56">
        <v>197177</v>
      </c>
      <c r="S155" s="113">
        <f>R155*$T$258</f>
        <v>73936661.751422644</v>
      </c>
      <c r="T155" s="168"/>
      <c r="U155" s="213">
        <f>$Q$150*$T$150*S155/$R$179</f>
        <v>39.993171430889475</v>
      </c>
      <c r="V155" s="95">
        <f>S155+U155</f>
        <v>73936701.744594067</v>
      </c>
      <c r="W155" s="99">
        <f>R155*100/U255</f>
        <v>5.3324228574519292</v>
      </c>
      <c r="X155" s="115"/>
      <c r="Y155" s="96"/>
      <c r="Z155" s="96"/>
      <c r="AH155" s="99">
        <v>135</v>
      </c>
      <c r="AI155" s="113" t="s">
        <v>4904</v>
      </c>
      <c r="AJ155" s="113">
        <v>250000</v>
      </c>
      <c r="AK155" s="99">
        <v>6</v>
      </c>
      <c r="AL155" s="20">
        <f t="shared" si="35"/>
        <v>68</v>
      </c>
      <c r="AM155" s="117">
        <f t="shared" si="40"/>
        <v>17000000</v>
      </c>
      <c r="AN155" s="20"/>
    </row>
    <row r="156" spans="16:44">
      <c r="Q156" s="168"/>
      <c r="R156" s="56"/>
      <c r="S156" s="168"/>
      <c r="T156" s="168"/>
      <c r="U156" s="168"/>
      <c r="V156" s="168"/>
      <c r="W156" s="99"/>
      <c r="X156" s="96"/>
      <c r="Y156" s="122" t="s">
        <v>25</v>
      </c>
      <c r="Z156" s="96"/>
      <c r="AH156" s="99">
        <v>136</v>
      </c>
      <c r="AI156" s="113" t="s">
        <v>4969</v>
      </c>
      <c r="AJ156" s="113">
        <v>-48527480</v>
      </c>
      <c r="AK156" s="99">
        <v>14</v>
      </c>
      <c r="AL156" s="20">
        <f t="shared" si="35"/>
        <v>62</v>
      </c>
      <c r="AM156" s="117">
        <f t="shared" si="40"/>
        <v>-3008703760</v>
      </c>
      <c r="AN156" s="20" t="s">
        <v>4971</v>
      </c>
    </row>
    <row r="157" spans="16:44">
      <c r="Q157" s="168"/>
      <c r="R157" s="168"/>
      <c r="S157" s="168"/>
      <c r="T157" s="168"/>
      <c r="U157" s="168"/>
      <c r="V157" s="168"/>
      <c r="W157" s="99"/>
      <c r="X157" s="96"/>
      <c r="Y157" s="96"/>
      <c r="Z157" s="96"/>
      <c r="AH157" s="99">
        <v>137</v>
      </c>
      <c r="AI157" s="113" t="s">
        <v>4997</v>
      </c>
      <c r="AJ157" s="113">
        <v>2100000</v>
      </c>
      <c r="AK157" s="99">
        <v>1</v>
      </c>
      <c r="AL157" s="20">
        <f t="shared" si="35"/>
        <v>48</v>
      </c>
      <c r="AM157" s="117">
        <f t="shared" si="40"/>
        <v>100800000</v>
      </c>
      <c r="AN157" s="20"/>
    </row>
    <row r="158" spans="16:44">
      <c r="P158" s="114"/>
      <c r="Q158" s="99"/>
      <c r="R158" s="99"/>
      <c r="S158" s="99"/>
      <c r="T158" s="99" t="s">
        <v>25</v>
      </c>
      <c r="U158" s="99"/>
      <c r="V158" s="99"/>
      <c r="W158" s="99"/>
      <c r="X158" s="96"/>
      <c r="Y158" s="96"/>
      <c r="Z158" s="96"/>
      <c r="AH158" s="99">
        <v>138</v>
      </c>
      <c r="AI158" s="113" t="s">
        <v>5002</v>
      </c>
      <c r="AJ158" s="113">
        <v>100000</v>
      </c>
      <c r="AK158" s="99">
        <v>4</v>
      </c>
      <c r="AL158" s="20">
        <f>AL159+AK158</f>
        <v>47</v>
      </c>
      <c r="AM158" s="117">
        <f t="shared" si="40"/>
        <v>4700000</v>
      </c>
      <c r="AN158" s="20"/>
      <c r="AQ158" t="s">
        <v>25</v>
      </c>
    </row>
    <row r="159" spans="16:44">
      <c r="Q159" s="99"/>
      <c r="R159" s="99"/>
      <c r="S159" s="99"/>
      <c r="T159" s="99"/>
      <c r="U159" s="99"/>
      <c r="V159" s="99"/>
      <c r="W159" s="99"/>
      <c r="X159" s="96"/>
      <c r="Y159" s="96"/>
      <c r="Z159" s="96"/>
      <c r="AH159" s="99">
        <v>139</v>
      </c>
      <c r="AI159" s="113" t="s">
        <v>5009</v>
      </c>
      <c r="AJ159" s="113">
        <v>900000</v>
      </c>
      <c r="AK159" s="99">
        <v>0</v>
      </c>
      <c r="AL159" s="20">
        <f t="shared" ref="AL159:AL168" si="42">AL160+AK159</f>
        <v>43</v>
      </c>
      <c r="AM159" s="117">
        <f t="shared" ref="AM159:AM168" si="43">AJ159*AL159</f>
        <v>38700000</v>
      </c>
      <c r="AN159" s="20"/>
      <c r="AP159" t="s">
        <v>25</v>
      </c>
    </row>
    <row r="160" spans="16:44">
      <c r="P160" s="114"/>
      <c r="Q160" s="99"/>
      <c r="R160" s="99"/>
      <c r="S160" s="99"/>
      <c r="T160" s="99"/>
      <c r="U160" s="99"/>
      <c r="V160" s="99"/>
      <c r="W160" s="99"/>
      <c r="X160" s="96"/>
      <c r="Y160" s="96"/>
      <c r="AH160" s="99">
        <v>140</v>
      </c>
      <c r="AI160" s="113" t="s">
        <v>5009</v>
      </c>
      <c r="AJ160" s="113">
        <v>1100000</v>
      </c>
      <c r="AK160" s="99">
        <v>0</v>
      </c>
      <c r="AL160" s="20">
        <f t="shared" si="42"/>
        <v>43</v>
      </c>
      <c r="AM160" s="117">
        <f t="shared" si="43"/>
        <v>47300000</v>
      </c>
      <c r="AN160" s="20" t="s">
        <v>5029</v>
      </c>
      <c r="AQ160" t="s">
        <v>25</v>
      </c>
    </row>
    <row r="161" spans="15:43">
      <c r="O161" s="96"/>
      <c r="Q161" s="96"/>
      <c r="R161" s="96"/>
      <c r="S161" s="96"/>
      <c r="T161" s="96"/>
      <c r="V161" s="96"/>
      <c r="X161" s="115"/>
      <c r="Y161" s="96"/>
      <c r="AH161" s="99">
        <v>141</v>
      </c>
      <c r="AI161" s="113" t="s">
        <v>5009</v>
      </c>
      <c r="AJ161" s="113">
        <v>115000</v>
      </c>
      <c r="AK161" s="99"/>
      <c r="AL161" s="20">
        <f t="shared" si="42"/>
        <v>43</v>
      </c>
      <c r="AM161" s="117">
        <f t="shared" si="43"/>
        <v>4945000</v>
      </c>
      <c r="AN161" s="20"/>
      <c r="AQ161" t="s">
        <v>25</v>
      </c>
    </row>
    <row r="162" spans="15:43">
      <c r="O162" s="96"/>
      <c r="Q162" s="99" t="s">
        <v>5065</v>
      </c>
      <c r="R162" s="95">
        <f>S152-R167</f>
        <v>165941823.88061655</v>
      </c>
      <c r="S162" s="96"/>
      <c r="T162" s="96"/>
      <c r="V162" s="96"/>
      <c r="Y162" s="96"/>
      <c r="AH162" s="99">
        <v>142</v>
      </c>
      <c r="AI162" s="113" t="s">
        <v>5019</v>
      </c>
      <c r="AJ162" s="113">
        <v>-1100000</v>
      </c>
      <c r="AK162" s="99"/>
      <c r="AL162" s="20">
        <f t="shared" si="42"/>
        <v>43</v>
      </c>
      <c r="AM162" s="117">
        <f t="shared" si="43"/>
        <v>-47300000</v>
      </c>
      <c r="AN162" s="20" t="s">
        <v>5030</v>
      </c>
      <c r="AQ162" t="s">
        <v>25</v>
      </c>
    </row>
    <row r="163" spans="15:43">
      <c r="Q163" s="99" t="s">
        <v>5066</v>
      </c>
      <c r="R163" s="95">
        <f>S155+S154-R168</f>
        <v>11638792.813449189</v>
      </c>
      <c r="S163" s="96"/>
      <c r="T163" s="96" t="s">
        <v>25</v>
      </c>
      <c r="V163" s="96"/>
      <c r="Y163" s="96"/>
      <c r="AH163" s="99">
        <v>143</v>
      </c>
      <c r="AI163" s="113" t="s">
        <v>5019</v>
      </c>
      <c r="AJ163" s="113">
        <v>900000</v>
      </c>
      <c r="AK163" s="99">
        <v>1</v>
      </c>
      <c r="AL163" s="20">
        <f t="shared" si="42"/>
        <v>43</v>
      </c>
      <c r="AM163" s="117">
        <f t="shared" si="43"/>
        <v>38700000</v>
      </c>
      <c r="AN163" s="20" t="s">
        <v>5029</v>
      </c>
    </row>
    <row r="164" spans="15:43">
      <c r="Q164" s="96"/>
      <c r="R164" s="96"/>
      <c r="S164" s="96"/>
      <c r="T164" s="96"/>
      <c r="V164" s="96"/>
      <c r="Y164" s="96"/>
      <c r="AH164" s="99">
        <v>144</v>
      </c>
      <c r="AI164" s="113" t="s">
        <v>5027</v>
      </c>
      <c r="AJ164" s="113">
        <v>2000000</v>
      </c>
      <c r="AK164" s="99">
        <v>0</v>
      </c>
      <c r="AL164" s="20">
        <f t="shared" si="42"/>
        <v>42</v>
      </c>
      <c r="AM164" s="117">
        <f t="shared" si="43"/>
        <v>84000000</v>
      </c>
      <c r="AN164" s="20"/>
    </row>
    <row r="165" spans="15:43">
      <c r="Q165" s="96"/>
      <c r="R165" s="96"/>
      <c r="S165" s="96"/>
      <c r="T165" s="99" t="s">
        <v>180</v>
      </c>
      <c r="U165" s="99" t="s">
        <v>4480</v>
      </c>
      <c r="V165" s="99" t="s">
        <v>4481</v>
      </c>
      <c r="W165" s="99" t="s">
        <v>4491</v>
      </c>
      <c r="X165" s="99" t="s">
        <v>8</v>
      </c>
      <c r="Y165" s="96"/>
      <c r="AH165" s="99">
        <v>145</v>
      </c>
      <c r="AI165" s="113" t="s">
        <v>5027</v>
      </c>
      <c r="AJ165" s="113">
        <v>360000</v>
      </c>
      <c r="AK165" s="99">
        <v>1</v>
      </c>
      <c r="AL165" s="20">
        <f t="shared" si="42"/>
        <v>42</v>
      </c>
      <c r="AM165" s="117">
        <f t="shared" si="43"/>
        <v>15120000</v>
      </c>
      <c r="AN165" s="20"/>
    </row>
    <row r="166" spans="15:43">
      <c r="Q166" s="36" t="s">
        <v>4566</v>
      </c>
      <c r="R166" s="95">
        <f>SUM(N41:N46)</f>
        <v>773723363.79999995</v>
      </c>
      <c r="T166" s="113" t="s">
        <v>4456</v>
      </c>
      <c r="U166" s="56">
        <v>1000000</v>
      </c>
      <c r="V166" s="113">
        <v>239.024</v>
      </c>
      <c r="W166" s="113">
        <f t="shared" ref="W166:W253" si="44">U166*V166</f>
        <v>239024000</v>
      </c>
      <c r="X166" s="99"/>
      <c r="Y166" t="s">
        <v>25</v>
      </c>
      <c r="AH166" s="99">
        <v>146</v>
      </c>
      <c r="AI166" s="113" t="s">
        <v>5028</v>
      </c>
      <c r="AJ166" s="113">
        <v>3000000</v>
      </c>
      <c r="AK166" s="99">
        <v>1</v>
      </c>
      <c r="AL166" s="20">
        <f t="shared" si="42"/>
        <v>41</v>
      </c>
      <c r="AM166" s="117">
        <f t="shared" si="43"/>
        <v>123000000</v>
      </c>
      <c r="AN166" s="20"/>
    </row>
    <row r="167" spans="15:43">
      <c r="Q167" s="99" t="s">
        <v>4447</v>
      </c>
      <c r="R167" s="95">
        <f>SUM(N21:N23)</f>
        <v>489532891.5</v>
      </c>
      <c r="T167" s="168" t="s">
        <v>4438</v>
      </c>
      <c r="U167" s="56">
        <v>5904</v>
      </c>
      <c r="V167" s="113">
        <v>237.148</v>
      </c>
      <c r="W167" s="113">
        <f t="shared" si="44"/>
        <v>1400121.7919999999</v>
      </c>
      <c r="X167" s="99" t="s">
        <v>751</v>
      </c>
      <c r="AH167" s="99">
        <v>147</v>
      </c>
      <c r="AI167" s="113" t="s">
        <v>5024</v>
      </c>
      <c r="AJ167" s="113">
        <v>-658226</v>
      </c>
      <c r="AK167" s="99">
        <v>1</v>
      </c>
      <c r="AL167" s="20">
        <f t="shared" si="42"/>
        <v>40</v>
      </c>
      <c r="AM167" s="117">
        <f t="shared" si="43"/>
        <v>-26329040</v>
      </c>
      <c r="AN167" s="20"/>
    </row>
    <row r="168" spans="15:43">
      <c r="Q168" s="99" t="s">
        <v>4448</v>
      </c>
      <c r="R168" s="95">
        <f>SUM(N26:N28)</f>
        <v>82027986.199999988</v>
      </c>
      <c r="T168" s="168" t="s">
        <v>4231</v>
      </c>
      <c r="U168" s="168">
        <v>1000</v>
      </c>
      <c r="V168" s="113">
        <v>247.393</v>
      </c>
      <c r="W168" s="113">
        <f t="shared" si="44"/>
        <v>247393</v>
      </c>
      <c r="X168" s="99" t="s">
        <v>751</v>
      </c>
      <c r="Y168" t="s">
        <v>25</v>
      </c>
      <c r="AH168" s="99">
        <v>148</v>
      </c>
      <c r="AI168" s="113" t="s">
        <v>5031</v>
      </c>
      <c r="AJ168" s="113">
        <v>1000000</v>
      </c>
      <c r="AK168" s="99">
        <v>15</v>
      </c>
      <c r="AL168" s="20">
        <f t="shared" si="42"/>
        <v>39</v>
      </c>
      <c r="AM168" s="117">
        <f t="shared" si="43"/>
        <v>39000000</v>
      </c>
      <c r="AN168" s="20"/>
      <c r="AP168" t="s">
        <v>25</v>
      </c>
    </row>
    <row r="169" spans="15:43">
      <c r="Q169" s="99" t="s">
        <v>4449</v>
      </c>
      <c r="R169" s="95">
        <f>N39</f>
        <v>125</v>
      </c>
      <c r="T169" s="168" t="s">
        <v>4492</v>
      </c>
      <c r="U169" s="168">
        <v>8071</v>
      </c>
      <c r="V169" s="113">
        <v>247.797</v>
      </c>
      <c r="W169" s="113">
        <f t="shared" si="44"/>
        <v>1999969.5870000001</v>
      </c>
      <c r="X169" s="99" t="s">
        <v>4445</v>
      </c>
      <c r="AH169" s="99">
        <v>149</v>
      </c>
      <c r="AI169" s="113" t="s">
        <v>5071</v>
      </c>
      <c r="AJ169" s="113">
        <v>1130250</v>
      </c>
      <c r="AK169" s="99">
        <v>5</v>
      </c>
      <c r="AL169" s="20">
        <f t="shared" si="35"/>
        <v>24</v>
      </c>
      <c r="AM169" s="117">
        <f t="shared" si="40"/>
        <v>27126000</v>
      </c>
      <c r="AN169" s="20"/>
    </row>
    <row r="170" spans="15:43">
      <c r="Q170" s="99" t="s">
        <v>4450</v>
      </c>
      <c r="R170" s="95">
        <f>N20</f>
        <v>14</v>
      </c>
      <c r="T170" s="168" t="s">
        <v>4492</v>
      </c>
      <c r="U170" s="168">
        <v>53672</v>
      </c>
      <c r="V170" s="113">
        <v>247.797</v>
      </c>
      <c r="W170" s="113">
        <f t="shared" si="44"/>
        <v>13299760.584000001</v>
      </c>
      <c r="X170" s="99" t="s">
        <v>452</v>
      </c>
      <c r="Y170" t="s">
        <v>25</v>
      </c>
      <c r="AE170" s="96" t="s">
        <v>25</v>
      </c>
      <c r="AH170" s="99">
        <v>150</v>
      </c>
      <c r="AI170" s="113" t="s">
        <v>5087</v>
      </c>
      <c r="AJ170" s="113">
        <v>206000</v>
      </c>
      <c r="AK170" s="99">
        <v>2</v>
      </c>
      <c r="AL170" s="20">
        <f t="shared" si="35"/>
        <v>19</v>
      </c>
      <c r="AM170" s="117">
        <f t="shared" si="40"/>
        <v>3914000</v>
      </c>
      <c r="AN170" s="20"/>
    </row>
    <row r="171" spans="15:43">
      <c r="Q171" s="99" t="s">
        <v>4451</v>
      </c>
      <c r="R171" s="95">
        <f>N25</f>
        <v>131</v>
      </c>
      <c r="T171" s="168" t="s">
        <v>4500</v>
      </c>
      <c r="U171" s="168">
        <v>4099</v>
      </c>
      <c r="V171" s="113">
        <v>243.93</v>
      </c>
      <c r="W171" s="113">
        <f t="shared" si="44"/>
        <v>999869.07000000007</v>
      </c>
      <c r="X171" s="99" t="s">
        <v>4445</v>
      </c>
      <c r="AH171" s="99">
        <v>151</v>
      </c>
      <c r="AI171" s="113" t="s">
        <v>5095</v>
      </c>
      <c r="AJ171" s="113">
        <v>50000</v>
      </c>
      <c r="AK171" s="99">
        <v>2</v>
      </c>
      <c r="AL171" s="20">
        <f t="shared" si="35"/>
        <v>17</v>
      </c>
      <c r="AM171" s="117">
        <f t="shared" si="40"/>
        <v>850000</v>
      </c>
      <c r="AN171" s="20"/>
    </row>
    <row r="172" spans="15:43">
      <c r="Q172" s="99" t="s">
        <v>4463</v>
      </c>
      <c r="R172" s="95">
        <v>0</v>
      </c>
      <c r="T172" s="168" t="s">
        <v>4500</v>
      </c>
      <c r="U172" s="168">
        <v>9301</v>
      </c>
      <c r="V172" s="113">
        <v>243.93</v>
      </c>
      <c r="W172" s="113">
        <f t="shared" si="44"/>
        <v>2268792.9300000002</v>
      </c>
      <c r="X172" s="99" t="s">
        <v>452</v>
      </c>
      <c r="AH172" s="99">
        <v>152</v>
      </c>
      <c r="AI172" s="113" t="s">
        <v>5103</v>
      </c>
      <c r="AJ172" s="113">
        <v>105000</v>
      </c>
      <c r="AK172" s="99">
        <v>4</v>
      </c>
      <c r="AL172" s="20">
        <f t="shared" si="35"/>
        <v>15</v>
      </c>
      <c r="AM172" s="117">
        <f t="shared" si="40"/>
        <v>1575000</v>
      </c>
      <c r="AN172" s="20"/>
    </row>
    <row r="173" spans="15:43">
      <c r="Q173" s="99" t="s">
        <v>4933</v>
      </c>
      <c r="R173" s="95">
        <v>0</v>
      </c>
      <c r="T173" s="168" t="s">
        <v>4506</v>
      </c>
      <c r="U173" s="168">
        <v>8334</v>
      </c>
      <c r="V173" s="113">
        <v>239.97</v>
      </c>
      <c r="W173" s="113">
        <f t="shared" si="44"/>
        <v>1999909.98</v>
      </c>
      <c r="X173" s="99" t="s">
        <v>4445</v>
      </c>
      <c r="AH173" s="99">
        <v>153</v>
      </c>
      <c r="AI173" s="113" t="s">
        <v>5109</v>
      </c>
      <c r="AJ173" s="113">
        <v>5000000</v>
      </c>
      <c r="AK173" s="99">
        <v>1</v>
      </c>
      <c r="AL173" s="20">
        <f t="shared" si="35"/>
        <v>11</v>
      </c>
      <c r="AM173" s="117">
        <f t="shared" si="40"/>
        <v>55000000</v>
      </c>
      <c r="AN173" s="20"/>
    </row>
    <row r="174" spans="15:43">
      <c r="Q174" s="99" t="s">
        <v>5117</v>
      </c>
      <c r="R174" s="95">
        <v>204600</v>
      </c>
      <c r="T174" s="168" t="s">
        <v>4230</v>
      </c>
      <c r="U174" s="168">
        <v>29041</v>
      </c>
      <c r="V174" s="113">
        <v>233.45</v>
      </c>
      <c r="W174" s="113">
        <f t="shared" si="44"/>
        <v>6779621.4499999993</v>
      </c>
      <c r="X174" s="99" t="s">
        <v>751</v>
      </c>
      <c r="AH174" s="99">
        <v>154</v>
      </c>
      <c r="AI174" s="113" t="s">
        <v>5112</v>
      </c>
      <c r="AJ174" s="113">
        <v>2500000</v>
      </c>
      <c r="AK174" s="99">
        <v>2</v>
      </c>
      <c r="AL174" s="20">
        <f t="shared" si="35"/>
        <v>10</v>
      </c>
      <c r="AM174" s="117">
        <f t="shared" si="40"/>
        <v>25000000</v>
      </c>
      <c r="AN174" s="20"/>
    </row>
    <row r="175" spans="15:43">
      <c r="Q175" s="99" t="s">
        <v>5118</v>
      </c>
      <c r="R175" s="95">
        <v>24159150</v>
      </c>
      <c r="S175" s="115"/>
      <c r="T175" s="168" t="s">
        <v>994</v>
      </c>
      <c r="U175" s="168">
        <v>12337</v>
      </c>
      <c r="V175" s="113">
        <v>243.16300000000001</v>
      </c>
      <c r="W175" s="113">
        <f t="shared" si="44"/>
        <v>2999901.9310000003</v>
      </c>
      <c r="X175" s="99" t="s">
        <v>4445</v>
      </c>
      <c r="AH175" s="271">
        <v>155</v>
      </c>
      <c r="AI175" s="267" t="s">
        <v>5123</v>
      </c>
      <c r="AJ175" s="267">
        <v>-50000000</v>
      </c>
      <c r="AK175" s="271">
        <v>7</v>
      </c>
      <c r="AL175" s="271">
        <f t="shared" si="35"/>
        <v>8</v>
      </c>
      <c r="AM175" s="267">
        <f t="shared" si="40"/>
        <v>-400000000</v>
      </c>
      <c r="AN175" s="271" t="s">
        <v>5138</v>
      </c>
    </row>
    <row r="176" spans="15:43">
      <c r="Q176" s="99" t="s">
        <v>5119</v>
      </c>
      <c r="R176" s="95">
        <v>16266000</v>
      </c>
      <c r="S176" s="122"/>
      <c r="T176" s="168" t="s">
        <v>4587</v>
      </c>
      <c r="U176" s="168">
        <v>-16118</v>
      </c>
      <c r="V176" s="113">
        <v>248.17</v>
      </c>
      <c r="W176" s="113">
        <f t="shared" si="44"/>
        <v>-4000004.0599999996</v>
      </c>
      <c r="X176" s="99" t="s">
        <v>751</v>
      </c>
      <c r="AH176" s="99">
        <v>156</v>
      </c>
      <c r="AI176" s="113" t="s">
        <v>5136</v>
      </c>
      <c r="AJ176" s="113">
        <v>10000000</v>
      </c>
      <c r="AK176" s="99">
        <v>1</v>
      </c>
      <c r="AL176" s="20">
        <f t="shared" si="35"/>
        <v>1</v>
      </c>
      <c r="AM176" s="117">
        <f t="shared" si="40"/>
        <v>10000000</v>
      </c>
      <c r="AN176" s="20" t="s">
        <v>4757</v>
      </c>
    </row>
    <row r="177" spans="17:44">
      <c r="Q177" s="99" t="s">
        <v>4856</v>
      </c>
      <c r="R177" s="95">
        <v>200000</v>
      </c>
      <c r="S177" s="115"/>
      <c r="T177" s="168" t="s">
        <v>4615</v>
      </c>
      <c r="U177" s="168">
        <v>101681</v>
      </c>
      <c r="V177" s="113">
        <v>246.5711</v>
      </c>
      <c r="W177" s="113">
        <f t="shared" si="44"/>
        <v>25071596.019099999</v>
      </c>
      <c r="X177" s="99" t="s">
        <v>452</v>
      </c>
      <c r="AH177" s="99"/>
      <c r="AI177" s="113"/>
      <c r="AJ177" s="113"/>
      <c r="AK177" s="99"/>
      <c r="AL177" s="20">
        <f t="shared" si="35"/>
        <v>0</v>
      </c>
      <c r="AM177" s="117">
        <f t="shared" si="40"/>
        <v>0</v>
      </c>
      <c r="AN177" s="20"/>
    </row>
    <row r="178" spans="17:44">
      <c r="Q178" s="99" t="s">
        <v>5116</v>
      </c>
      <c r="R178" s="95">
        <v>434850</v>
      </c>
      <c r="S178" s="115"/>
      <c r="T178" s="168" t="s">
        <v>4619</v>
      </c>
      <c r="U178" s="168">
        <v>66606</v>
      </c>
      <c r="V178" s="113">
        <v>251.131</v>
      </c>
      <c r="W178" s="113">
        <f t="shared" si="44"/>
        <v>16726831.386</v>
      </c>
      <c r="X178" s="99" t="s">
        <v>751</v>
      </c>
      <c r="AH178" s="99"/>
      <c r="AI178" s="113"/>
      <c r="AJ178" s="113"/>
      <c r="AK178" s="99"/>
      <c r="AL178" s="20">
        <f t="shared" si="35"/>
        <v>0</v>
      </c>
      <c r="AM178" s="117">
        <f t="shared" si="40"/>
        <v>0</v>
      </c>
      <c r="AN178" s="20"/>
    </row>
    <row r="179" spans="17:44">
      <c r="Q179" s="99" t="s">
        <v>4455</v>
      </c>
      <c r="R179" s="95">
        <f>SUM(R166:R178)</f>
        <v>1386549111.5</v>
      </c>
      <c r="T179" s="168" t="s">
        <v>4624</v>
      </c>
      <c r="U179" s="168">
        <v>172025</v>
      </c>
      <c r="V179" s="113">
        <v>245.52809999999999</v>
      </c>
      <c r="W179" s="113">
        <f t="shared" si="44"/>
        <v>42236971.402499996</v>
      </c>
      <c r="X179" s="99" t="s">
        <v>452</v>
      </c>
      <c r="Y179" t="s">
        <v>25</v>
      </c>
      <c r="AH179" s="99"/>
      <c r="AI179" s="113"/>
      <c r="AJ179" s="113"/>
      <c r="AK179" s="99"/>
      <c r="AL179" s="99">
        <f t="shared" si="35"/>
        <v>0</v>
      </c>
      <c r="AM179" s="117">
        <f t="shared" si="40"/>
        <v>0</v>
      </c>
      <c r="AN179" s="99"/>
    </row>
    <row r="180" spans="17:44">
      <c r="Q180" s="96"/>
      <c r="T180" s="168" t="s">
        <v>4624</v>
      </c>
      <c r="U180" s="168">
        <v>189227</v>
      </c>
      <c r="V180" s="113">
        <v>245.52809999999999</v>
      </c>
      <c r="W180" s="113">
        <f t="shared" si="44"/>
        <v>46460545.778700002</v>
      </c>
      <c r="X180" s="99" t="s">
        <v>751</v>
      </c>
      <c r="AH180" s="99"/>
      <c r="AI180" s="99"/>
      <c r="AJ180" s="95">
        <f>SUM(AJ20:AJ179)</f>
        <v>510044657</v>
      </c>
      <c r="AK180" s="99"/>
      <c r="AL180" s="99"/>
      <c r="AM180" s="95">
        <f>SUM(AM20:AM179)</f>
        <v>121005976745</v>
      </c>
      <c r="AN180" s="95">
        <f>AM180*AN183/31</f>
        <v>65058277.884158552</v>
      </c>
    </row>
    <row r="181" spans="17:44">
      <c r="T181" s="168" t="s">
        <v>4625</v>
      </c>
      <c r="U181" s="168">
        <v>79720</v>
      </c>
      <c r="V181" s="113">
        <v>246.6568</v>
      </c>
      <c r="W181" s="113">
        <f t="shared" si="44"/>
        <v>19663480.096000001</v>
      </c>
      <c r="X181" s="99" t="s">
        <v>452</v>
      </c>
      <c r="Y181" t="s">
        <v>25</v>
      </c>
      <c r="AH181" s="99"/>
      <c r="AI181" s="99"/>
      <c r="AJ181" s="99" t="s">
        <v>4059</v>
      </c>
      <c r="AK181" s="99"/>
      <c r="AL181" s="99"/>
      <c r="AM181" s="99" t="s">
        <v>284</v>
      </c>
      <c r="AN181" s="99" t="s">
        <v>943</v>
      </c>
    </row>
    <row r="182" spans="17:44">
      <c r="Q182" s="99" t="s">
        <v>8</v>
      </c>
      <c r="R182" s="99" t="s">
        <v>4445</v>
      </c>
      <c r="S182" s="99"/>
      <c r="T182" s="168" t="s">
        <v>4625</v>
      </c>
      <c r="U182" s="168">
        <v>79720</v>
      </c>
      <c r="V182" s="113">
        <v>246.6568</v>
      </c>
      <c r="W182" s="113">
        <f t="shared" si="44"/>
        <v>19663480.096000001</v>
      </c>
      <c r="X182" s="99" t="s">
        <v>751</v>
      </c>
      <c r="Y182" t="s">
        <v>25</v>
      </c>
      <c r="AH182" s="99"/>
      <c r="AI182" s="99"/>
      <c r="AJ182" s="99"/>
      <c r="AK182" s="99"/>
      <c r="AL182" s="99"/>
      <c r="AM182" s="99"/>
      <c r="AN182" s="99"/>
    </row>
    <row r="183" spans="17:44">
      <c r="Q183" s="99"/>
      <c r="R183" s="36" t="s">
        <v>180</v>
      </c>
      <c r="S183" s="99" t="s">
        <v>267</v>
      </c>
      <c r="T183" s="168" t="s">
        <v>4649</v>
      </c>
      <c r="U183" s="168">
        <v>17769</v>
      </c>
      <c r="V183" s="113">
        <v>246.17877999999999</v>
      </c>
      <c r="W183" s="113">
        <f t="shared" si="44"/>
        <v>4374350.7418200001</v>
      </c>
      <c r="X183" s="99" t="s">
        <v>751</v>
      </c>
      <c r="AH183" s="99"/>
      <c r="AI183" s="99"/>
      <c r="AJ183" s="99"/>
      <c r="AK183" s="99"/>
      <c r="AL183" s="99"/>
      <c r="AM183" s="99" t="s">
        <v>4060</v>
      </c>
      <c r="AN183" s="99">
        <v>1.6667000000000001E-2</v>
      </c>
    </row>
    <row r="184" spans="17:44">
      <c r="Q184" s="99"/>
      <c r="R184" s="99" t="s">
        <v>4438</v>
      </c>
      <c r="S184" s="95">
        <v>3000000</v>
      </c>
      <c r="T184" s="168" t="s">
        <v>4649</v>
      </c>
      <c r="U184" s="168">
        <v>17769</v>
      </c>
      <c r="V184" s="113">
        <v>246.17877999999999</v>
      </c>
      <c r="W184" s="113">
        <f t="shared" si="44"/>
        <v>4374350.7418200001</v>
      </c>
      <c r="X184" s="99" t="s">
        <v>452</v>
      </c>
      <c r="AH184" s="99"/>
      <c r="AI184" s="99"/>
      <c r="AJ184" s="99"/>
      <c r="AK184" s="99"/>
      <c r="AL184" s="99"/>
      <c r="AM184" s="99"/>
      <c r="AN184" s="99"/>
      <c r="AR184" t="s">
        <v>25</v>
      </c>
    </row>
    <row r="185" spans="17:44">
      <c r="Q185" s="99"/>
      <c r="R185" s="99" t="s">
        <v>4492</v>
      </c>
      <c r="S185" s="95">
        <v>2000000</v>
      </c>
      <c r="T185" s="168" t="s">
        <v>4652</v>
      </c>
      <c r="U185" s="168">
        <v>12438</v>
      </c>
      <c r="V185" s="113">
        <v>241.20465999999999</v>
      </c>
      <c r="W185" s="113">
        <f t="shared" si="44"/>
        <v>3000103.5610799999</v>
      </c>
      <c r="X185" s="99" t="s">
        <v>4445</v>
      </c>
      <c r="AH185" s="99"/>
      <c r="AI185" s="99" t="s">
        <v>4061</v>
      </c>
      <c r="AJ185" s="95">
        <f>AJ180+AN180</f>
        <v>575102934.88415861</v>
      </c>
      <c r="AK185" s="99"/>
      <c r="AL185" s="99"/>
      <c r="AM185" s="99"/>
      <c r="AN185" s="99"/>
    </row>
    <row r="186" spans="17:44">
      <c r="Q186" s="99"/>
      <c r="R186" s="99" t="s">
        <v>4500</v>
      </c>
      <c r="S186" s="95">
        <v>1000000</v>
      </c>
      <c r="T186" s="168" t="s">
        <v>4661</v>
      </c>
      <c r="U186" s="168">
        <v>27363</v>
      </c>
      <c r="V186" s="113">
        <v>239.3886</v>
      </c>
      <c r="W186" s="113">
        <f t="shared" si="44"/>
        <v>6550390.2617999995</v>
      </c>
      <c r="X186" s="99" t="s">
        <v>751</v>
      </c>
      <c r="AI186" t="s">
        <v>4064</v>
      </c>
      <c r="AJ186" s="114">
        <f>SUM(N39:N46)</f>
        <v>773723488.79999995</v>
      </c>
    </row>
    <row r="187" spans="17:44">
      <c r="Q187" s="99"/>
      <c r="R187" s="99" t="s">
        <v>4506</v>
      </c>
      <c r="S187" s="95">
        <v>2000000</v>
      </c>
      <c r="T187" s="168" t="s">
        <v>4661</v>
      </c>
      <c r="U187" s="168">
        <v>27363</v>
      </c>
      <c r="V187" s="113">
        <v>239.3886</v>
      </c>
      <c r="W187" s="113">
        <f t="shared" si="44"/>
        <v>6550390.2617999995</v>
      </c>
      <c r="X187" s="99" t="s">
        <v>452</v>
      </c>
      <c r="Z187" t="s">
        <v>25</v>
      </c>
      <c r="AI187" t="s">
        <v>4136</v>
      </c>
      <c r="AJ187" s="114">
        <f>AJ186-AJ180</f>
        <v>263678831.79999995</v>
      </c>
      <c r="AM187" t="s">
        <v>25</v>
      </c>
    </row>
    <row r="188" spans="17:44">
      <c r="Q188" s="99"/>
      <c r="R188" s="99" t="s">
        <v>994</v>
      </c>
      <c r="S188" s="95">
        <v>3000000</v>
      </c>
      <c r="T188" s="210" t="s">
        <v>4663</v>
      </c>
      <c r="U188" s="210">
        <v>27437</v>
      </c>
      <c r="V188" s="113">
        <v>242.4015</v>
      </c>
      <c r="W188" s="113">
        <f t="shared" si="44"/>
        <v>6650769.9555000002</v>
      </c>
      <c r="X188" s="99" t="s">
        <v>751</v>
      </c>
      <c r="AI188" t="s">
        <v>943</v>
      </c>
      <c r="AJ188" s="114">
        <f>AN180</f>
        <v>65058277.884158552</v>
      </c>
      <c r="AN188" t="s">
        <v>25</v>
      </c>
    </row>
    <row r="189" spans="17:44">
      <c r="Q189" s="99"/>
      <c r="R189" s="99" t="s">
        <v>4652</v>
      </c>
      <c r="S189" s="95">
        <v>3000000</v>
      </c>
      <c r="T189" s="210" t="s">
        <v>4663</v>
      </c>
      <c r="U189" s="210">
        <v>29104</v>
      </c>
      <c r="V189" s="113">
        <v>242.4015</v>
      </c>
      <c r="W189" s="113">
        <f t="shared" si="44"/>
        <v>7054853.2560000001</v>
      </c>
      <c r="X189" s="99" t="s">
        <v>452</v>
      </c>
      <c r="AI189" t="s">
        <v>4065</v>
      </c>
      <c r="AJ189" s="114">
        <f>AJ186-AJ185</f>
        <v>198620553.91584134</v>
      </c>
      <c r="AN189" t="s">
        <v>25</v>
      </c>
    </row>
    <row r="190" spans="17:44">
      <c r="Q190" s="99" t="s">
        <v>4845</v>
      </c>
      <c r="R190" s="99" t="s">
        <v>4840</v>
      </c>
      <c r="S190" s="95">
        <v>-800000</v>
      </c>
      <c r="T190" s="213" t="s">
        <v>4686</v>
      </c>
      <c r="U190" s="213">
        <v>8991</v>
      </c>
      <c r="V190" s="113">
        <v>238.64867000000001</v>
      </c>
      <c r="W190" s="113">
        <f t="shared" si="44"/>
        <v>2145690.19197</v>
      </c>
      <c r="X190" s="99" t="s">
        <v>751</v>
      </c>
      <c r="AM190" t="s">
        <v>25</v>
      </c>
    </row>
    <row r="191" spans="17:44">
      <c r="Q191" s="99" t="s">
        <v>4846</v>
      </c>
      <c r="R191" s="99" t="s">
        <v>4840</v>
      </c>
      <c r="S191" s="95">
        <v>-900000</v>
      </c>
      <c r="T191" s="213" t="s">
        <v>4686</v>
      </c>
      <c r="U191" s="213">
        <v>8991</v>
      </c>
      <c r="V191" s="113">
        <v>238.64867000000001</v>
      </c>
      <c r="W191" s="113">
        <f t="shared" si="44"/>
        <v>2145690.19197</v>
      </c>
      <c r="X191" s="99" t="s">
        <v>452</v>
      </c>
      <c r="Y191" t="s">
        <v>25</v>
      </c>
      <c r="AJ191" t="s">
        <v>25</v>
      </c>
    </row>
    <row r="192" spans="17:44">
      <c r="Q192" s="99" t="s">
        <v>4846</v>
      </c>
      <c r="R192" s="99" t="s">
        <v>981</v>
      </c>
      <c r="S192" s="95">
        <v>-1100000</v>
      </c>
      <c r="T192" s="213" t="s">
        <v>4698</v>
      </c>
      <c r="U192" s="213">
        <v>18170</v>
      </c>
      <c r="V192" s="113">
        <v>240.48475999999999</v>
      </c>
      <c r="W192" s="113">
        <f t="shared" si="44"/>
        <v>4369608.0892000003</v>
      </c>
      <c r="X192" s="99" t="s">
        <v>751</v>
      </c>
    </row>
    <row r="193" spans="15:44">
      <c r="Q193" s="195" t="s">
        <v>1087</v>
      </c>
      <c r="R193" s="195" t="s">
        <v>4871</v>
      </c>
      <c r="S193" s="242">
        <v>30000000</v>
      </c>
      <c r="T193" s="213" t="s">
        <v>4698</v>
      </c>
      <c r="U193" s="213">
        <v>18170</v>
      </c>
      <c r="V193" s="113">
        <v>240.48475999999999</v>
      </c>
      <c r="W193" s="113">
        <f t="shared" si="44"/>
        <v>4369608.0892000003</v>
      </c>
      <c r="X193" s="99" t="s">
        <v>452</v>
      </c>
    </row>
    <row r="194" spans="15:44">
      <c r="Q194" s="20" t="s">
        <v>4963</v>
      </c>
      <c r="R194" s="20" t="s">
        <v>4961</v>
      </c>
      <c r="S194" s="247">
        <v>2000000</v>
      </c>
      <c r="T194" s="213" t="s">
        <v>4700</v>
      </c>
      <c r="U194" s="213">
        <v>36797</v>
      </c>
      <c r="V194" s="113">
        <v>239.0822</v>
      </c>
      <c r="W194" s="113">
        <f t="shared" si="44"/>
        <v>8797507.7134000007</v>
      </c>
      <c r="X194" s="99" t="s">
        <v>751</v>
      </c>
    </row>
    <row r="195" spans="15:44">
      <c r="O195" t="s">
        <v>25</v>
      </c>
      <c r="Q195" s="149" t="s">
        <v>4989</v>
      </c>
      <c r="R195" s="149" t="s">
        <v>4988</v>
      </c>
      <c r="S195" s="150">
        <v>480105</v>
      </c>
      <c r="T195" s="213" t="s">
        <v>4700</v>
      </c>
      <c r="U195" s="213">
        <v>36797</v>
      </c>
      <c r="V195" s="113">
        <v>239.0822</v>
      </c>
      <c r="W195" s="113">
        <f t="shared" si="44"/>
        <v>8797507.7134000007</v>
      </c>
      <c r="X195" s="99" t="s">
        <v>452</v>
      </c>
    </row>
    <row r="196" spans="15:44">
      <c r="Q196" s="149"/>
      <c r="R196" s="149" t="s">
        <v>5045</v>
      </c>
      <c r="S196" s="150">
        <v>30500000</v>
      </c>
      <c r="T196" s="213" t="s">
        <v>4709</v>
      </c>
      <c r="U196" s="213">
        <v>28066</v>
      </c>
      <c r="V196" s="113">
        <v>237.56970000000001</v>
      </c>
      <c r="W196" s="113">
        <f t="shared" si="44"/>
        <v>6667631.2002000008</v>
      </c>
      <c r="X196" s="99" t="s">
        <v>751</v>
      </c>
      <c r="AH196" s="99" t="s">
        <v>3641</v>
      </c>
      <c r="AI196" s="99" t="s">
        <v>180</v>
      </c>
      <c r="AJ196" s="99" t="s">
        <v>267</v>
      </c>
      <c r="AK196" s="99" t="s">
        <v>4058</v>
      </c>
      <c r="AL196" s="99" t="s">
        <v>4050</v>
      </c>
      <c r="AM196" s="99" t="s">
        <v>282</v>
      </c>
      <c r="AN196" s="99" t="s">
        <v>4292</v>
      </c>
    </row>
    <row r="197" spans="15:44">
      <c r="Q197" s="20" t="s">
        <v>5093</v>
      </c>
      <c r="R197" s="20" t="s">
        <v>5087</v>
      </c>
      <c r="S197" s="247">
        <v>-400000</v>
      </c>
      <c r="T197" s="213" t="s">
        <v>4709</v>
      </c>
      <c r="U197" s="213">
        <v>28066</v>
      </c>
      <c r="V197" s="113">
        <v>237.56970000000001</v>
      </c>
      <c r="W197" s="113">
        <f t="shared" si="44"/>
        <v>6667631.2002000008</v>
      </c>
      <c r="X197" s="99" t="s">
        <v>452</v>
      </c>
      <c r="Y197" t="s">
        <v>25</v>
      </c>
      <c r="AH197" s="99">
        <v>1</v>
      </c>
      <c r="AI197" s="99" t="s">
        <v>3949</v>
      </c>
      <c r="AJ197" s="117">
        <v>3555820</v>
      </c>
      <c r="AK197" s="99">
        <v>2</v>
      </c>
      <c r="AL197" s="99">
        <f>AK197+AL198</f>
        <v>356</v>
      </c>
      <c r="AM197" s="99">
        <f>AJ197*AL197</f>
        <v>1265871920</v>
      </c>
      <c r="AN197" s="99" t="s">
        <v>4312</v>
      </c>
    </row>
    <row r="198" spans="15:44">
      <c r="Q198" s="99"/>
      <c r="R198" s="99"/>
      <c r="S198" s="95"/>
      <c r="T198" s="213" t="s">
        <v>3684</v>
      </c>
      <c r="U198" s="213">
        <v>37457</v>
      </c>
      <c r="V198" s="113">
        <v>239.77</v>
      </c>
      <c r="W198" s="113">
        <f t="shared" si="44"/>
        <v>8981064.8900000006</v>
      </c>
      <c r="X198" s="99" t="s">
        <v>751</v>
      </c>
      <c r="AH198" s="99">
        <v>2</v>
      </c>
      <c r="AI198" s="99" t="s">
        <v>4024</v>
      </c>
      <c r="AJ198" s="117">
        <v>1720837</v>
      </c>
      <c r="AK198" s="99">
        <v>51</v>
      </c>
      <c r="AL198" s="99">
        <f t="shared" ref="AL198:AL207" si="45">AK198+AL199</f>
        <v>354</v>
      </c>
      <c r="AM198" s="99">
        <f t="shared" ref="AM198:AM226" si="46">AJ198*AL198</f>
        <v>609176298</v>
      </c>
      <c r="AN198" s="99" t="s">
        <v>4313</v>
      </c>
    </row>
    <row r="199" spans="15:44">
      <c r="Q199" s="99"/>
      <c r="R199" s="99"/>
      <c r="S199" s="95">
        <f>SUM(S184:S198)</f>
        <v>73780105</v>
      </c>
      <c r="T199" s="213" t="s">
        <v>3684</v>
      </c>
      <c r="U199" s="213">
        <v>37457</v>
      </c>
      <c r="V199" s="113">
        <v>239.77</v>
      </c>
      <c r="W199" s="113">
        <f t="shared" si="44"/>
        <v>8981064.8900000006</v>
      </c>
      <c r="X199" s="99" t="s">
        <v>452</v>
      </c>
      <c r="AH199" s="99">
        <v>3</v>
      </c>
      <c r="AI199" s="99" t="s">
        <v>4130</v>
      </c>
      <c r="AJ199" s="117">
        <v>150000</v>
      </c>
      <c r="AK199" s="99">
        <v>3</v>
      </c>
      <c r="AL199" s="99">
        <f t="shared" si="45"/>
        <v>303</v>
      </c>
      <c r="AM199" s="99">
        <f t="shared" si="46"/>
        <v>45450000</v>
      </c>
      <c r="AN199" s="99"/>
    </row>
    <row r="200" spans="15:44">
      <c r="Q200" s="99"/>
      <c r="R200" s="99"/>
      <c r="S200" s="99" t="s">
        <v>6</v>
      </c>
      <c r="T200" s="213" t="s">
        <v>4722</v>
      </c>
      <c r="U200" s="213">
        <v>38412</v>
      </c>
      <c r="V200" s="113">
        <v>239.03</v>
      </c>
      <c r="W200" s="113">
        <f t="shared" si="44"/>
        <v>9181620.3599999994</v>
      </c>
      <c r="X200" s="99" t="s">
        <v>751</v>
      </c>
      <c r="AH200" s="99">
        <v>4</v>
      </c>
      <c r="AI200" s="99" t="s">
        <v>4145</v>
      </c>
      <c r="AJ200" s="117">
        <v>-95000</v>
      </c>
      <c r="AK200" s="99">
        <v>8</v>
      </c>
      <c r="AL200" s="99">
        <f t="shared" si="45"/>
        <v>300</v>
      </c>
      <c r="AM200" s="99">
        <f t="shared" si="46"/>
        <v>-28500000</v>
      </c>
      <c r="AN200" s="99"/>
    </row>
    <row r="201" spans="15:44">
      <c r="T201" s="213" t="s">
        <v>4722</v>
      </c>
      <c r="U201" s="213">
        <v>38412</v>
      </c>
      <c r="V201" s="113">
        <v>239.03</v>
      </c>
      <c r="W201" s="113">
        <f t="shared" si="44"/>
        <v>9181620.3599999994</v>
      </c>
      <c r="X201" s="99" t="s">
        <v>452</v>
      </c>
      <c r="AH201" s="99">
        <v>5</v>
      </c>
      <c r="AI201" s="99" t="s">
        <v>4172</v>
      </c>
      <c r="AJ201" s="117">
        <v>3150000</v>
      </c>
      <c r="AK201" s="99">
        <v>16</v>
      </c>
      <c r="AL201" s="99">
        <f t="shared" si="45"/>
        <v>292</v>
      </c>
      <c r="AM201" s="99">
        <f t="shared" si="46"/>
        <v>919800000</v>
      </c>
      <c r="AN201" s="99"/>
      <c r="AQ201" t="s">
        <v>25</v>
      </c>
    </row>
    <row r="202" spans="15:44">
      <c r="Q202" s="96"/>
      <c r="R202" s="96" t="s">
        <v>25</v>
      </c>
      <c r="T202" s="213" t="s">
        <v>4726</v>
      </c>
      <c r="U202" s="213">
        <v>49555</v>
      </c>
      <c r="V202" s="113">
        <v>238.345</v>
      </c>
      <c r="W202" s="113">
        <f t="shared" si="44"/>
        <v>11811186.475</v>
      </c>
      <c r="X202" s="99" t="s">
        <v>751</v>
      </c>
      <c r="AH202" s="99">
        <v>6</v>
      </c>
      <c r="AI202" s="99" t="s">
        <v>4240</v>
      </c>
      <c r="AJ202" s="117">
        <v>-65000</v>
      </c>
      <c r="AK202" s="99">
        <v>1</v>
      </c>
      <c r="AL202" s="99">
        <f t="shared" si="45"/>
        <v>276</v>
      </c>
      <c r="AM202" s="99">
        <f t="shared" si="46"/>
        <v>-17940000</v>
      </c>
      <c r="AN202" s="99"/>
    </row>
    <row r="203" spans="15:44">
      <c r="Q203" s="96"/>
      <c r="R203" s="96" t="s">
        <v>25</v>
      </c>
      <c r="T203" s="213" t="s">
        <v>4726</v>
      </c>
      <c r="U203" s="213">
        <v>49555</v>
      </c>
      <c r="V203" s="113">
        <v>238.345</v>
      </c>
      <c r="W203" s="113">
        <f t="shared" si="44"/>
        <v>11811186.475</v>
      </c>
      <c r="X203" s="99" t="s">
        <v>452</v>
      </c>
      <c r="AH203" s="99">
        <v>7</v>
      </c>
      <c r="AI203" s="99" t="s">
        <v>4314</v>
      </c>
      <c r="AJ203" s="117">
        <v>-95000</v>
      </c>
      <c r="AK203" s="99">
        <v>6</v>
      </c>
      <c r="AL203" s="99">
        <f t="shared" si="45"/>
        <v>275</v>
      </c>
      <c r="AM203" s="99">
        <f t="shared" si="46"/>
        <v>-26125000</v>
      </c>
      <c r="AN203" s="99"/>
    </row>
    <row r="204" spans="15:44">
      <c r="T204" s="213" t="s">
        <v>4740</v>
      </c>
      <c r="U204" s="213">
        <v>160187</v>
      </c>
      <c r="V204" s="113">
        <v>257.49799999999999</v>
      </c>
      <c r="W204" s="113">
        <f t="shared" si="44"/>
        <v>41247832.126000002</v>
      </c>
      <c r="X204" s="99" t="s">
        <v>751</v>
      </c>
      <c r="AH204" s="99">
        <v>8</v>
      </c>
      <c r="AI204" s="99" t="s">
        <v>4315</v>
      </c>
      <c r="AJ204" s="117">
        <v>232000</v>
      </c>
      <c r="AK204" s="99">
        <v>7</v>
      </c>
      <c r="AL204" s="99">
        <f t="shared" si="45"/>
        <v>269</v>
      </c>
      <c r="AM204" s="99">
        <f t="shared" si="46"/>
        <v>62408000</v>
      </c>
      <c r="AN204" s="99"/>
      <c r="AR204" t="s">
        <v>25</v>
      </c>
    </row>
    <row r="205" spans="15:44">
      <c r="Q205" s="99" t="s">
        <v>751</v>
      </c>
      <c r="R205" s="99"/>
      <c r="T205" s="213" t="s">
        <v>4740</v>
      </c>
      <c r="U205" s="213">
        <v>160187</v>
      </c>
      <c r="V205" s="113">
        <v>257.49799999999999</v>
      </c>
      <c r="W205" s="113">
        <f t="shared" si="44"/>
        <v>41247832.126000002</v>
      </c>
      <c r="X205" s="99" t="s">
        <v>452</v>
      </c>
      <c r="AH205" s="99">
        <v>9</v>
      </c>
      <c r="AI205" s="99" t="s">
        <v>4291</v>
      </c>
      <c r="AJ205" s="117">
        <v>13000000</v>
      </c>
      <c r="AK205" s="99">
        <v>2</v>
      </c>
      <c r="AL205" s="99">
        <f t="shared" si="45"/>
        <v>262</v>
      </c>
      <c r="AM205" s="99">
        <f t="shared" si="46"/>
        <v>3406000000</v>
      </c>
      <c r="AN205" s="99"/>
    </row>
    <row r="206" spans="15:44">
      <c r="Q206" s="99" t="s">
        <v>4438</v>
      </c>
      <c r="R206" s="95">
        <v>172908000</v>
      </c>
      <c r="T206" s="213" t="s">
        <v>4748</v>
      </c>
      <c r="U206" s="213">
        <v>144401</v>
      </c>
      <c r="V206" s="113">
        <v>258.5061</v>
      </c>
      <c r="W206" s="113">
        <f t="shared" si="44"/>
        <v>37328539.346100003</v>
      </c>
      <c r="X206" s="99" t="s">
        <v>751</v>
      </c>
      <c r="AH206" s="99">
        <v>10</v>
      </c>
      <c r="AI206" s="99" t="s">
        <v>4316</v>
      </c>
      <c r="AJ206" s="117">
        <v>10000000</v>
      </c>
      <c r="AK206" s="99">
        <v>3</v>
      </c>
      <c r="AL206" s="99">
        <f t="shared" si="45"/>
        <v>260</v>
      </c>
      <c r="AM206" s="99">
        <f t="shared" si="46"/>
        <v>2600000000</v>
      </c>
      <c r="AN206" s="99"/>
    </row>
    <row r="207" spans="15:44">
      <c r="Q207" s="99" t="s">
        <v>4479</v>
      </c>
      <c r="R207" s="95">
        <v>1400000</v>
      </c>
      <c r="T207" s="213" t="s">
        <v>4748</v>
      </c>
      <c r="U207" s="213">
        <v>144401</v>
      </c>
      <c r="V207" s="113">
        <v>258.5061</v>
      </c>
      <c r="W207" s="113">
        <f t="shared" si="44"/>
        <v>37328539.346100003</v>
      </c>
      <c r="X207" s="99" t="s">
        <v>452</v>
      </c>
      <c r="AH207" s="99">
        <v>11</v>
      </c>
      <c r="AI207" s="99" t="s">
        <v>4304</v>
      </c>
      <c r="AJ207" s="117">
        <v>3400000</v>
      </c>
      <c r="AK207" s="99">
        <v>9</v>
      </c>
      <c r="AL207" s="99">
        <f t="shared" si="45"/>
        <v>257</v>
      </c>
      <c r="AM207" s="99">
        <f t="shared" si="46"/>
        <v>873800000</v>
      </c>
      <c r="AN207" s="99"/>
      <c r="AR207" t="s">
        <v>25</v>
      </c>
    </row>
    <row r="208" spans="15:44">
      <c r="Q208" s="99" t="s">
        <v>4231</v>
      </c>
      <c r="R208" s="95">
        <v>247393</v>
      </c>
      <c r="S208" t="s">
        <v>25</v>
      </c>
      <c r="T208" s="168" t="s">
        <v>4755</v>
      </c>
      <c r="U208" s="168">
        <v>196500</v>
      </c>
      <c r="V208" s="113">
        <v>254.452</v>
      </c>
      <c r="W208" s="113">
        <f t="shared" si="44"/>
        <v>49999818</v>
      </c>
      <c r="X208" s="99" t="s">
        <v>4759</v>
      </c>
      <c r="AH208" s="99">
        <v>12</v>
      </c>
      <c r="AI208" s="99" t="s">
        <v>4346</v>
      </c>
      <c r="AJ208" s="117">
        <v>-8736514</v>
      </c>
      <c r="AK208" s="99">
        <v>1</v>
      </c>
      <c r="AL208" s="99">
        <f>AK208+AL209</f>
        <v>248</v>
      </c>
      <c r="AM208" s="99">
        <f t="shared" si="46"/>
        <v>-2166655472</v>
      </c>
      <c r="AN208" s="99"/>
    </row>
    <row r="209" spans="17:45">
      <c r="Q209" s="99" t="s">
        <v>4230</v>
      </c>
      <c r="R209" s="95">
        <v>6780000</v>
      </c>
      <c r="T209" s="213" t="s">
        <v>4755</v>
      </c>
      <c r="U209" s="213">
        <v>2561</v>
      </c>
      <c r="V209" s="113">
        <v>254.536</v>
      </c>
      <c r="W209" s="113">
        <f t="shared" si="44"/>
        <v>651866.696</v>
      </c>
      <c r="X209" s="99" t="s">
        <v>4760</v>
      </c>
      <c r="AH209" s="99">
        <v>13</v>
      </c>
      <c r="AI209" s="99" t="s">
        <v>4347</v>
      </c>
      <c r="AJ209" s="117">
        <v>555000</v>
      </c>
      <c r="AK209" s="99">
        <v>5</v>
      </c>
      <c r="AL209" s="99">
        <f t="shared" ref="AL209:AL225" si="47">AK209+AL210</f>
        <v>247</v>
      </c>
      <c r="AM209" s="99">
        <f t="shared" si="46"/>
        <v>137085000</v>
      </c>
      <c r="AN209" s="99"/>
      <c r="AP209" t="s">
        <v>25</v>
      </c>
    </row>
    <row r="210" spans="17:45">
      <c r="Q210" s="99" t="s">
        <v>4587</v>
      </c>
      <c r="R210" s="95">
        <v>-4000000</v>
      </c>
      <c r="T210" s="213" t="s">
        <v>4806</v>
      </c>
      <c r="U210" s="213">
        <v>-11795</v>
      </c>
      <c r="V210" s="113">
        <v>254.334</v>
      </c>
      <c r="W210" s="113">
        <f t="shared" si="44"/>
        <v>-2999869.5300000003</v>
      </c>
      <c r="X210" s="99" t="s">
        <v>4807</v>
      </c>
      <c r="Z210" t="s">
        <v>25</v>
      </c>
      <c r="AH210" s="99">
        <v>14</v>
      </c>
      <c r="AI210" s="99" t="s">
        <v>4371</v>
      </c>
      <c r="AJ210" s="117">
        <v>-448308</v>
      </c>
      <c r="AK210" s="99">
        <v>6</v>
      </c>
      <c r="AL210" s="99">
        <f t="shared" si="47"/>
        <v>242</v>
      </c>
      <c r="AM210" s="99">
        <f t="shared" si="46"/>
        <v>-108490536</v>
      </c>
      <c r="AN210" s="99"/>
    </row>
    <row r="211" spans="17:45">
      <c r="Q211" s="99" t="s">
        <v>4619</v>
      </c>
      <c r="R211" s="95">
        <v>16727037</v>
      </c>
      <c r="T211" s="213" t="s">
        <v>4806</v>
      </c>
      <c r="U211" s="213">
        <v>11795</v>
      </c>
      <c r="V211" s="113">
        <v>254.334</v>
      </c>
      <c r="W211" s="113">
        <f t="shared" si="44"/>
        <v>2999869.5300000003</v>
      </c>
      <c r="X211" s="99" t="s">
        <v>4808</v>
      </c>
      <c r="AH211" s="99">
        <v>15</v>
      </c>
      <c r="AI211" s="99" t="s">
        <v>4401</v>
      </c>
      <c r="AJ211" s="117">
        <v>33225</v>
      </c>
      <c r="AK211" s="99">
        <v>0</v>
      </c>
      <c r="AL211" s="99">
        <f t="shared" si="47"/>
        <v>236</v>
      </c>
      <c r="AM211" s="99">
        <f t="shared" si="46"/>
        <v>7841100</v>
      </c>
      <c r="AN211" s="99"/>
    </row>
    <row r="212" spans="17:45">
      <c r="Q212" s="99" t="s">
        <v>4624</v>
      </c>
      <c r="R212" s="95">
        <v>46460683</v>
      </c>
      <c r="S212" t="s">
        <v>25</v>
      </c>
      <c r="T212" s="213" t="s">
        <v>4821</v>
      </c>
      <c r="U212" s="213">
        <v>260</v>
      </c>
      <c r="V212" s="113">
        <v>263.19</v>
      </c>
      <c r="W212" s="113">
        <f t="shared" si="44"/>
        <v>68429.399999999994</v>
      </c>
      <c r="X212" s="99" t="s">
        <v>452</v>
      </c>
      <c r="AH212" s="149">
        <v>16</v>
      </c>
      <c r="AI212" s="149" t="s">
        <v>4401</v>
      </c>
      <c r="AJ212" s="188">
        <v>4098523</v>
      </c>
      <c r="AK212" s="149">
        <v>2</v>
      </c>
      <c r="AL212" s="149">
        <f t="shared" si="47"/>
        <v>236</v>
      </c>
      <c r="AM212" s="149">
        <f t="shared" si="46"/>
        <v>967251428</v>
      </c>
      <c r="AN212" s="149" t="s">
        <v>657</v>
      </c>
    </row>
    <row r="213" spans="17:45">
      <c r="Q213" s="99" t="s">
        <v>4625</v>
      </c>
      <c r="R213" s="95">
        <v>19663646</v>
      </c>
      <c r="T213" s="213" t="s">
        <v>4835</v>
      </c>
      <c r="U213" s="213">
        <v>15257</v>
      </c>
      <c r="V213" s="113">
        <v>262.19018</v>
      </c>
      <c r="W213" s="113">
        <f t="shared" si="44"/>
        <v>4000235.57626</v>
      </c>
      <c r="X213" s="99" t="s">
        <v>452</v>
      </c>
      <c r="AH213" s="149">
        <v>17</v>
      </c>
      <c r="AI213" s="149" t="s">
        <v>4414</v>
      </c>
      <c r="AJ213" s="188">
        <v>-1000000</v>
      </c>
      <c r="AK213" s="149">
        <v>7</v>
      </c>
      <c r="AL213" s="149">
        <f t="shared" si="47"/>
        <v>234</v>
      </c>
      <c r="AM213" s="149">
        <f t="shared" si="46"/>
        <v>-234000000</v>
      </c>
      <c r="AN213" s="149" t="s">
        <v>657</v>
      </c>
      <c r="AR213" t="s">
        <v>25</v>
      </c>
    </row>
    <row r="214" spans="17:45">
      <c r="Q214" s="99" t="s">
        <v>4649</v>
      </c>
      <c r="R214" s="95">
        <v>4374525</v>
      </c>
      <c r="T214" s="213" t="s">
        <v>4835</v>
      </c>
      <c r="U214" s="213">
        <v>8444</v>
      </c>
      <c r="V214" s="113">
        <v>266.43029999999999</v>
      </c>
      <c r="W214" s="113">
        <f t="shared" si="44"/>
        <v>2249737.4531999999</v>
      </c>
      <c r="X214" s="99" t="s">
        <v>452</v>
      </c>
      <c r="AH214" s="149">
        <v>18</v>
      </c>
      <c r="AI214" s="149" t="s">
        <v>4434</v>
      </c>
      <c r="AJ214" s="188">
        <v>750000</v>
      </c>
      <c r="AK214" s="149">
        <v>1</v>
      </c>
      <c r="AL214" s="149">
        <f t="shared" si="47"/>
        <v>227</v>
      </c>
      <c r="AM214" s="149">
        <f t="shared" si="46"/>
        <v>170250000</v>
      </c>
      <c r="AN214" s="149" t="s">
        <v>657</v>
      </c>
      <c r="AQ214" t="s">
        <v>25</v>
      </c>
    </row>
    <row r="215" spans="17:45">
      <c r="Q215" s="99" t="s">
        <v>4661</v>
      </c>
      <c r="R215" s="95">
        <v>6550580</v>
      </c>
      <c r="T215" s="213" t="s">
        <v>4840</v>
      </c>
      <c r="U215" s="213">
        <v>-6209</v>
      </c>
      <c r="V215" s="113">
        <v>273.79649999999998</v>
      </c>
      <c r="W215" s="113">
        <f t="shared" si="44"/>
        <v>-1700002.4685</v>
      </c>
      <c r="X215" s="99" t="s">
        <v>4851</v>
      </c>
      <c r="AH215" s="195">
        <v>19</v>
      </c>
      <c r="AI215" s="195" t="s">
        <v>4436</v>
      </c>
      <c r="AJ215" s="196">
        <v>-604152</v>
      </c>
      <c r="AK215" s="195">
        <v>0</v>
      </c>
      <c r="AL215" s="195">
        <f t="shared" si="47"/>
        <v>226</v>
      </c>
      <c r="AM215" s="195">
        <f t="shared" si="46"/>
        <v>-136538352</v>
      </c>
      <c r="AN215" s="195" t="s">
        <v>657</v>
      </c>
    </row>
    <row r="216" spans="17:45">
      <c r="Q216" s="99" t="s">
        <v>4663</v>
      </c>
      <c r="R216" s="95">
        <v>6650895</v>
      </c>
      <c r="T216" s="213" t="s">
        <v>4840</v>
      </c>
      <c r="U216" s="213">
        <v>-8014</v>
      </c>
      <c r="V216" s="113">
        <v>273.79649999999998</v>
      </c>
      <c r="W216" s="113">
        <f t="shared" si="44"/>
        <v>-2194205.1510000001</v>
      </c>
      <c r="X216" s="99" t="s">
        <v>751</v>
      </c>
      <c r="AH216" s="99">
        <v>20</v>
      </c>
      <c r="AI216" s="99" t="s">
        <v>4437</v>
      </c>
      <c r="AJ216" s="117">
        <v>-587083</v>
      </c>
      <c r="AK216" s="99">
        <v>4</v>
      </c>
      <c r="AL216" s="99">
        <f t="shared" si="47"/>
        <v>226</v>
      </c>
      <c r="AM216" s="99">
        <f t="shared" si="46"/>
        <v>-132680758</v>
      </c>
      <c r="AN216" s="99"/>
    </row>
    <row r="217" spans="17:45">
      <c r="Q217" s="99" t="s">
        <v>4686</v>
      </c>
      <c r="R217" s="95">
        <v>2145814</v>
      </c>
      <c r="T217" s="213" t="s">
        <v>4849</v>
      </c>
      <c r="U217" s="213">
        <v>-9176</v>
      </c>
      <c r="V217" s="113">
        <v>273.79649999999998</v>
      </c>
      <c r="W217" s="113">
        <f t="shared" si="44"/>
        <v>-2512356.6839999999</v>
      </c>
      <c r="X217" s="99" t="s">
        <v>452</v>
      </c>
      <c r="AH217" s="195">
        <v>21</v>
      </c>
      <c r="AI217" s="195" t="s">
        <v>4438</v>
      </c>
      <c r="AJ217" s="196">
        <v>-754351</v>
      </c>
      <c r="AK217" s="195">
        <v>0</v>
      </c>
      <c r="AL217" s="149">
        <f t="shared" si="47"/>
        <v>222</v>
      </c>
      <c r="AM217" s="195">
        <f t="shared" si="46"/>
        <v>-167465922</v>
      </c>
      <c r="AN217" s="195" t="s">
        <v>657</v>
      </c>
    </row>
    <row r="218" spans="17:45">
      <c r="Q218" s="99" t="s">
        <v>4698</v>
      </c>
      <c r="R218" s="95">
        <v>4369730</v>
      </c>
      <c r="T218" s="213" t="s">
        <v>4849</v>
      </c>
      <c r="U218" s="213">
        <v>1087</v>
      </c>
      <c r="V218" s="113">
        <v>273.79649999999998</v>
      </c>
      <c r="W218" s="113">
        <f t="shared" si="44"/>
        <v>297616.79550000001</v>
      </c>
      <c r="X218" s="99" t="s">
        <v>452</v>
      </c>
      <c r="AH218" s="99">
        <v>22</v>
      </c>
      <c r="AI218" s="99" t="s">
        <v>4438</v>
      </c>
      <c r="AJ218" s="117">
        <v>-189619</v>
      </c>
      <c r="AK218" s="99">
        <v>15</v>
      </c>
      <c r="AL218" s="99">
        <f t="shared" si="47"/>
        <v>222</v>
      </c>
      <c r="AM218" s="99">
        <f t="shared" si="46"/>
        <v>-42095418</v>
      </c>
      <c r="AN218" s="99"/>
      <c r="AS218" t="s">
        <v>25</v>
      </c>
    </row>
    <row r="219" spans="17:45">
      <c r="Q219" s="99" t="s">
        <v>4700</v>
      </c>
      <c r="R219" s="95">
        <v>8739459</v>
      </c>
      <c r="S219" t="s">
        <v>25</v>
      </c>
      <c r="T219" s="213" t="s">
        <v>981</v>
      </c>
      <c r="U219" s="213">
        <v>-4017</v>
      </c>
      <c r="V219" s="113">
        <v>273.79649999999998</v>
      </c>
      <c r="W219" s="113">
        <f t="shared" si="44"/>
        <v>-1099840.5404999999</v>
      </c>
      <c r="X219" s="99" t="s">
        <v>4445</v>
      </c>
      <c r="AH219" s="195">
        <v>23</v>
      </c>
      <c r="AI219" s="195" t="s">
        <v>4510</v>
      </c>
      <c r="AJ219" s="188">
        <v>7100</v>
      </c>
      <c r="AK219" s="195">
        <v>0</v>
      </c>
      <c r="AL219" s="149">
        <f t="shared" si="47"/>
        <v>207</v>
      </c>
      <c r="AM219" s="195">
        <f t="shared" si="46"/>
        <v>1469700</v>
      </c>
      <c r="AN219" s="195" t="s">
        <v>657</v>
      </c>
    </row>
    <row r="220" spans="17:45">
      <c r="Q220" s="99" t="s">
        <v>4709</v>
      </c>
      <c r="R220" s="95">
        <v>6667654</v>
      </c>
      <c r="T220" s="213" t="s">
        <v>981</v>
      </c>
      <c r="U220" s="213">
        <v>4017</v>
      </c>
      <c r="V220" s="113">
        <v>273.79649999999998</v>
      </c>
      <c r="W220" s="113">
        <f t="shared" si="44"/>
        <v>1099840.5404999999</v>
      </c>
      <c r="X220" s="99" t="s">
        <v>452</v>
      </c>
      <c r="AH220" s="20">
        <v>24</v>
      </c>
      <c r="AI220" s="20" t="s">
        <v>4510</v>
      </c>
      <c r="AJ220" s="117">
        <v>-147902</v>
      </c>
      <c r="AK220" s="20">
        <v>3</v>
      </c>
      <c r="AL220" s="99">
        <f t="shared" si="47"/>
        <v>207</v>
      </c>
      <c r="AM220" s="20">
        <f t="shared" si="46"/>
        <v>-30615714</v>
      </c>
      <c r="AN220" s="20"/>
    </row>
    <row r="221" spans="17:45">
      <c r="Q221" s="99" t="s">
        <v>4717</v>
      </c>
      <c r="R221" s="95">
        <v>8981245</v>
      </c>
      <c r="T221" s="213" t="s">
        <v>4858</v>
      </c>
      <c r="U221" s="213">
        <v>3137</v>
      </c>
      <c r="V221" s="113">
        <v>283.69110000000001</v>
      </c>
      <c r="W221" s="113">
        <f t="shared" si="44"/>
        <v>889938.98070000007</v>
      </c>
      <c r="X221" s="99" t="s">
        <v>452</v>
      </c>
      <c r="AH221" s="149">
        <v>25</v>
      </c>
      <c r="AI221" s="149" t="s">
        <v>4518</v>
      </c>
      <c r="AJ221" s="188">
        <v>-37200</v>
      </c>
      <c r="AK221" s="149">
        <v>4</v>
      </c>
      <c r="AL221" s="149">
        <f t="shared" si="47"/>
        <v>204</v>
      </c>
      <c r="AM221" s="195">
        <f t="shared" si="46"/>
        <v>-7588800</v>
      </c>
      <c r="AN221" s="149" t="s">
        <v>657</v>
      </c>
    </row>
    <row r="222" spans="17:45">
      <c r="Q222" s="99" t="s">
        <v>4722</v>
      </c>
      <c r="R222" s="95">
        <v>9181756</v>
      </c>
      <c r="T222" s="213" t="s">
        <v>4871</v>
      </c>
      <c r="U222" s="213">
        <v>101933</v>
      </c>
      <c r="V222" s="113">
        <v>294.30973999999998</v>
      </c>
      <c r="W222" s="113">
        <f t="shared" si="44"/>
        <v>29999874.727419998</v>
      </c>
      <c r="X222" s="99" t="s">
        <v>1087</v>
      </c>
      <c r="AH222" s="99">
        <v>26</v>
      </c>
      <c r="AI222" s="99" t="s">
        <v>4549</v>
      </c>
      <c r="AJ222" s="117">
        <v>-372326</v>
      </c>
      <c r="AK222" s="99">
        <v>21</v>
      </c>
      <c r="AL222" s="99">
        <f t="shared" si="47"/>
        <v>200</v>
      </c>
      <c r="AM222" s="20">
        <f t="shared" si="46"/>
        <v>-74465200</v>
      </c>
      <c r="AN222" s="99"/>
    </row>
    <row r="223" spans="17:45">
      <c r="Q223" s="99" t="s">
        <v>4726</v>
      </c>
      <c r="R223" s="95">
        <v>11811208</v>
      </c>
      <c r="S223" t="s">
        <v>25</v>
      </c>
      <c r="T223" s="213" t="s">
        <v>4879</v>
      </c>
      <c r="U223" s="213">
        <v>3407</v>
      </c>
      <c r="V223" s="113">
        <v>293.43799999999999</v>
      </c>
      <c r="W223" s="113">
        <f t="shared" si="44"/>
        <v>999743.26599999995</v>
      </c>
      <c r="X223" s="99" t="s">
        <v>452</v>
      </c>
      <c r="AH223" s="99">
        <v>27</v>
      </c>
      <c r="AI223" s="99" t="s">
        <v>4601</v>
      </c>
      <c r="AJ223" s="117">
        <v>235062</v>
      </c>
      <c r="AK223" s="99">
        <v>0</v>
      </c>
      <c r="AL223" s="99">
        <f t="shared" si="47"/>
        <v>179</v>
      </c>
      <c r="AM223" s="20">
        <f t="shared" si="46"/>
        <v>42076098</v>
      </c>
      <c r="AN223" s="99"/>
    </row>
    <row r="224" spans="17:45">
      <c r="Q224" s="99" t="s">
        <v>4740</v>
      </c>
      <c r="R224" s="95">
        <v>41248054</v>
      </c>
      <c r="S224" t="s">
        <v>25</v>
      </c>
      <c r="T224" s="213" t="s">
        <v>4880</v>
      </c>
      <c r="U224" s="213">
        <v>68796</v>
      </c>
      <c r="V224" s="113">
        <v>293.53250000000003</v>
      </c>
      <c r="W224" s="113">
        <f t="shared" si="44"/>
        <v>20193861.870000001</v>
      </c>
      <c r="X224" s="99" t="s">
        <v>751</v>
      </c>
      <c r="Z224" t="s">
        <v>25</v>
      </c>
      <c r="AH224" s="149">
        <v>28</v>
      </c>
      <c r="AI224" s="149" t="s">
        <v>4601</v>
      </c>
      <c r="AJ224" s="188">
        <v>235062</v>
      </c>
      <c r="AK224" s="149">
        <v>9</v>
      </c>
      <c r="AL224" s="99">
        <f t="shared" si="47"/>
        <v>179</v>
      </c>
      <c r="AM224" s="149">
        <f t="shared" si="46"/>
        <v>42076098</v>
      </c>
      <c r="AN224" s="149" t="s">
        <v>657</v>
      </c>
    </row>
    <row r="225" spans="17:44">
      <c r="Q225" s="99" t="s">
        <v>4748</v>
      </c>
      <c r="R225" s="95">
        <v>37328780</v>
      </c>
      <c r="T225" s="213" t="s">
        <v>4880</v>
      </c>
      <c r="U225" s="213">
        <v>154791</v>
      </c>
      <c r="V225" s="113">
        <v>293.53250000000003</v>
      </c>
      <c r="W225" s="113">
        <f t="shared" si="44"/>
        <v>45436189.207500003</v>
      </c>
      <c r="X225" s="99" t="s">
        <v>452</v>
      </c>
      <c r="AH225" s="149">
        <v>29</v>
      </c>
      <c r="AI225" s="149" t="s">
        <v>4625</v>
      </c>
      <c r="AJ225" s="188">
        <v>450000</v>
      </c>
      <c r="AK225" s="149">
        <v>0</v>
      </c>
      <c r="AL225" s="99">
        <f t="shared" si="47"/>
        <v>170</v>
      </c>
      <c r="AM225" s="149">
        <f t="shared" si="46"/>
        <v>76500000</v>
      </c>
      <c r="AN225" s="149" t="s">
        <v>657</v>
      </c>
    </row>
    <row r="226" spans="17:44">
      <c r="Q226" s="99" t="s">
        <v>4840</v>
      </c>
      <c r="R226" s="95">
        <v>-2194100</v>
      </c>
      <c r="T226" s="213" t="s">
        <v>4880</v>
      </c>
      <c r="U226" s="213">
        <v>-11923</v>
      </c>
      <c r="V226" s="113">
        <v>293.53250000000003</v>
      </c>
      <c r="W226" s="113">
        <f t="shared" si="44"/>
        <v>-3499787.9975000005</v>
      </c>
      <c r="X226" s="99" t="s">
        <v>452</v>
      </c>
      <c r="Y226" t="s">
        <v>25</v>
      </c>
      <c r="AH226" s="20">
        <v>30</v>
      </c>
      <c r="AI226" s="20" t="s">
        <v>4625</v>
      </c>
      <c r="AJ226" s="117">
        <v>450000</v>
      </c>
      <c r="AK226" s="20">
        <v>22</v>
      </c>
      <c r="AL226" s="99">
        <f>AK226+AL227</f>
        <v>170</v>
      </c>
      <c r="AM226" s="20">
        <f t="shared" si="46"/>
        <v>76500000</v>
      </c>
      <c r="AN226" s="20"/>
    </row>
    <row r="227" spans="17:44">
      <c r="Q227" s="99" t="s">
        <v>4880</v>
      </c>
      <c r="R227" s="95">
        <v>20193916</v>
      </c>
      <c r="T227" s="213" t="s">
        <v>4895</v>
      </c>
      <c r="U227" s="213">
        <v>8424</v>
      </c>
      <c r="V227" s="113">
        <v>299.15170000000001</v>
      </c>
      <c r="W227" s="113">
        <f t="shared" si="44"/>
        <v>2520053.9208</v>
      </c>
      <c r="X227" s="99" t="s">
        <v>452</v>
      </c>
      <c r="AH227" s="149">
        <v>31</v>
      </c>
      <c r="AI227" s="149" t="s">
        <v>4700</v>
      </c>
      <c r="AJ227" s="188">
        <v>300000</v>
      </c>
      <c r="AK227" s="149">
        <v>0</v>
      </c>
      <c r="AL227" s="149">
        <f t="shared" ref="AL227:AL242" si="48">AK227+AL228</f>
        <v>148</v>
      </c>
      <c r="AM227" s="149">
        <f t="shared" ref="AM227:AM230" si="49">AJ227*AL227</f>
        <v>44400000</v>
      </c>
      <c r="AN227" s="149"/>
    </row>
    <row r="228" spans="17:44" ht="30">
      <c r="Q228" s="99" t="s">
        <v>4961</v>
      </c>
      <c r="R228" s="95">
        <v>-2000000</v>
      </c>
      <c r="T228" s="213" t="s">
        <v>4932</v>
      </c>
      <c r="U228" s="213">
        <v>15943</v>
      </c>
      <c r="V228" s="113">
        <v>307.34415000000001</v>
      </c>
      <c r="W228" s="113">
        <f t="shared" si="44"/>
        <v>4899987.78345</v>
      </c>
      <c r="X228" s="99" t="s">
        <v>452</v>
      </c>
      <c r="Y228" s="96"/>
      <c r="AH228" s="121">
        <v>32</v>
      </c>
      <c r="AI228" s="121" t="s">
        <v>4700</v>
      </c>
      <c r="AJ228" s="79">
        <v>288936</v>
      </c>
      <c r="AK228" s="121">
        <v>3</v>
      </c>
      <c r="AL228" s="121">
        <f t="shared" si="48"/>
        <v>148</v>
      </c>
      <c r="AM228" s="121">
        <f t="shared" si="49"/>
        <v>42762528</v>
      </c>
      <c r="AN228" s="205" t="s">
        <v>4711</v>
      </c>
    </row>
    <row r="229" spans="17:44">
      <c r="Q229" s="99" t="s">
        <v>5045</v>
      </c>
      <c r="R229" s="95">
        <v>6800000</v>
      </c>
      <c r="S229" t="s">
        <v>25</v>
      </c>
      <c r="T229" s="213" t="s">
        <v>4955</v>
      </c>
      <c r="U229" s="213">
        <v>3741</v>
      </c>
      <c r="V229" s="113">
        <v>307.34415000000001</v>
      </c>
      <c r="W229" s="113">
        <f t="shared" si="44"/>
        <v>1149774.4651500001</v>
      </c>
      <c r="X229" s="99" t="s">
        <v>452</v>
      </c>
      <c r="Y229" t="s">
        <v>25</v>
      </c>
      <c r="AH229" s="121">
        <v>33</v>
      </c>
      <c r="AI229" s="121" t="s">
        <v>4709</v>
      </c>
      <c r="AJ229" s="79">
        <v>17962491</v>
      </c>
      <c r="AK229" s="121">
        <v>1</v>
      </c>
      <c r="AL229" s="121">
        <f t="shared" si="48"/>
        <v>145</v>
      </c>
      <c r="AM229" s="121">
        <f t="shared" si="49"/>
        <v>2604561195</v>
      </c>
      <c r="AN229" s="121" t="s">
        <v>4716</v>
      </c>
    </row>
    <row r="230" spans="17:44">
      <c r="Q230" s="99" t="s">
        <v>5061</v>
      </c>
      <c r="R230" s="95">
        <v>850000</v>
      </c>
      <c r="T230" s="213" t="s">
        <v>4961</v>
      </c>
      <c r="U230" s="213">
        <v>-6207</v>
      </c>
      <c r="V230" s="113">
        <v>322.214</v>
      </c>
      <c r="W230" s="113">
        <f t="shared" si="44"/>
        <v>-1999982.298</v>
      </c>
      <c r="X230" s="99" t="s">
        <v>751</v>
      </c>
      <c r="AH230" s="121">
        <v>34</v>
      </c>
      <c r="AI230" s="121" t="s">
        <v>3684</v>
      </c>
      <c r="AJ230" s="79">
        <v>18363511</v>
      </c>
      <c r="AK230" s="121">
        <v>1</v>
      </c>
      <c r="AL230" s="121">
        <f t="shared" si="48"/>
        <v>144</v>
      </c>
      <c r="AM230" s="121">
        <f t="shared" si="49"/>
        <v>2644345584</v>
      </c>
      <c r="AN230" s="121" t="s">
        <v>4716</v>
      </c>
      <c r="AQ230" t="s">
        <v>25</v>
      </c>
    </row>
    <row r="231" spans="17:44">
      <c r="Q231" s="99" t="s">
        <v>5071</v>
      </c>
      <c r="R231" s="95">
        <v>2290500</v>
      </c>
      <c r="T231" s="213" t="s">
        <v>4961</v>
      </c>
      <c r="U231" s="213">
        <v>6207</v>
      </c>
      <c r="V231" s="113">
        <v>322.214</v>
      </c>
      <c r="W231" s="113">
        <f t="shared" si="44"/>
        <v>1999982.298</v>
      </c>
      <c r="X231" s="99" t="s">
        <v>4445</v>
      </c>
      <c r="AH231" s="121">
        <v>35</v>
      </c>
      <c r="AI231" s="121" t="s">
        <v>4722</v>
      </c>
      <c r="AJ231" s="79">
        <v>23622417</v>
      </c>
      <c r="AK231" s="121">
        <v>5</v>
      </c>
      <c r="AL231" s="121">
        <f t="shared" si="48"/>
        <v>143</v>
      </c>
      <c r="AM231" s="121">
        <f t="shared" ref="AM231:AM234" si="50">AJ231*AL231</f>
        <v>3378005631</v>
      </c>
      <c r="AN231" s="121" t="s">
        <v>4725</v>
      </c>
    </row>
    <row r="232" spans="17:44">
      <c r="Q232" s="99" t="s">
        <v>5087</v>
      </c>
      <c r="R232" s="95">
        <v>400000</v>
      </c>
      <c r="S232" t="s">
        <v>25</v>
      </c>
      <c r="T232" s="213" t="s">
        <v>4904</v>
      </c>
      <c r="U232" s="213">
        <v>776</v>
      </c>
      <c r="V232" s="113">
        <v>322.214</v>
      </c>
      <c r="W232" s="113">
        <f t="shared" si="44"/>
        <v>250038.06400000001</v>
      </c>
      <c r="X232" s="99" t="s">
        <v>452</v>
      </c>
      <c r="AH232" s="121">
        <v>36</v>
      </c>
      <c r="AI232" s="121" t="s">
        <v>4738</v>
      </c>
      <c r="AJ232" s="79">
        <v>82496108</v>
      </c>
      <c r="AK232" s="121">
        <v>1</v>
      </c>
      <c r="AL232" s="121">
        <f t="shared" si="48"/>
        <v>138</v>
      </c>
      <c r="AM232" s="121">
        <f t="shared" si="50"/>
        <v>11384462904</v>
      </c>
      <c r="AN232" s="121" t="s">
        <v>4741</v>
      </c>
    </row>
    <row r="233" spans="17:44">
      <c r="Q233" s="99" t="s">
        <v>5095</v>
      </c>
      <c r="R233" s="95">
        <v>150000</v>
      </c>
      <c r="T233" s="213" t="s">
        <v>4988</v>
      </c>
      <c r="U233" s="213">
        <v>1524</v>
      </c>
      <c r="V233" s="113">
        <v>314.95999999999998</v>
      </c>
      <c r="W233" s="113">
        <f t="shared" si="44"/>
        <v>479999.04</v>
      </c>
      <c r="X233" s="99" t="s">
        <v>1087</v>
      </c>
      <c r="Y233" t="s">
        <v>25</v>
      </c>
      <c r="AH233" s="121">
        <v>37</v>
      </c>
      <c r="AI233" s="121" t="s">
        <v>4740</v>
      </c>
      <c r="AJ233" s="79">
        <v>74657561</v>
      </c>
      <c r="AK233" s="121">
        <v>16</v>
      </c>
      <c r="AL233" s="121">
        <f t="shared" si="48"/>
        <v>137</v>
      </c>
      <c r="AM233" s="121">
        <f t="shared" si="50"/>
        <v>10228085857</v>
      </c>
      <c r="AN233" s="121" t="s">
        <v>4747</v>
      </c>
    </row>
    <row r="234" spans="17:44">
      <c r="Q234" s="99"/>
      <c r="R234" s="95"/>
      <c r="T234" s="213" t="s">
        <v>4997</v>
      </c>
      <c r="U234" s="213">
        <v>4435</v>
      </c>
      <c r="V234" s="113">
        <v>316.4375</v>
      </c>
      <c r="W234" s="113">
        <f t="shared" si="44"/>
        <v>1403400.3125</v>
      </c>
      <c r="X234" s="99" t="s">
        <v>452</v>
      </c>
      <c r="AH234" s="99">
        <v>38</v>
      </c>
      <c r="AI234" s="99" t="s">
        <v>4821</v>
      </c>
      <c r="AJ234" s="117">
        <v>665000</v>
      </c>
      <c r="AK234" s="99">
        <v>0</v>
      </c>
      <c r="AL234" s="99">
        <f t="shared" si="48"/>
        <v>121</v>
      </c>
      <c r="AM234" s="20">
        <f t="shared" si="50"/>
        <v>80465000</v>
      </c>
      <c r="AN234" s="99"/>
    </row>
    <row r="235" spans="17:44">
      <c r="Q235" s="99"/>
      <c r="R235" s="95">
        <f>SUM(R206:R234)</f>
        <v>434726775</v>
      </c>
      <c r="T235" s="213" t="s">
        <v>5002</v>
      </c>
      <c r="U235" s="213">
        <v>624</v>
      </c>
      <c r="V235" s="113">
        <v>320.5</v>
      </c>
      <c r="W235" s="113">
        <f t="shared" si="44"/>
        <v>199992</v>
      </c>
      <c r="X235" s="99" t="s">
        <v>452</v>
      </c>
      <c r="Z235" t="s">
        <v>25</v>
      </c>
      <c r="AA235" t="s">
        <v>25</v>
      </c>
      <c r="AH235" s="149">
        <v>39</v>
      </c>
      <c r="AI235" s="149" t="s">
        <v>4821</v>
      </c>
      <c r="AJ235" s="188">
        <v>665000</v>
      </c>
      <c r="AK235" s="149">
        <v>4</v>
      </c>
      <c r="AL235" s="195">
        <f t="shared" si="48"/>
        <v>121</v>
      </c>
      <c r="AM235" s="195">
        <f t="shared" ref="AM235:AM236" si="51">AJ235*AL235</f>
        <v>80465000</v>
      </c>
      <c r="AN235" s="195"/>
    </row>
    <row r="236" spans="17:44">
      <c r="Q236" s="99"/>
      <c r="R236" s="99" t="s">
        <v>6</v>
      </c>
      <c r="S236" t="s">
        <v>25</v>
      </c>
      <c r="T236" s="213" t="s">
        <v>5009</v>
      </c>
      <c r="U236" s="213">
        <v>1086</v>
      </c>
      <c r="V236" s="113">
        <v>317.55</v>
      </c>
      <c r="W236" s="113">
        <f t="shared" si="44"/>
        <v>344859.3</v>
      </c>
      <c r="X236" s="99" t="s">
        <v>452</v>
      </c>
      <c r="AH236" s="20">
        <v>40</v>
      </c>
      <c r="AI236" s="20" t="s">
        <v>4835</v>
      </c>
      <c r="AJ236" s="117">
        <v>2000000</v>
      </c>
      <c r="AK236" s="20">
        <v>1</v>
      </c>
      <c r="AL236" s="99">
        <f t="shared" si="48"/>
        <v>117</v>
      </c>
      <c r="AM236" s="20">
        <f t="shared" si="51"/>
        <v>234000000</v>
      </c>
      <c r="AN236" s="99"/>
    </row>
    <row r="237" spans="17:44">
      <c r="T237" s="213" t="s">
        <v>5015</v>
      </c>
      <c r="U237" s="213">
        <v>2820</v>
      </c>
      <c r="V237" s="113">
        <v>319.1096</v>
      </c>
      <c r="W237" s="113">
        <f t="shared" si="44"/>
        <v>899889.07200000004</v>
      </c>
      <c r="X237" s="99" t="s">
        <v>452</v>
      </c>
      <c r="Y237" t="s">
        <v>25</v>
      </c>
      <c r="AH237" s="20">
        <v>41</v>
      </c>
      <c r="AI237" s="20" t="s">
        <v>4840</v>
      </c>
      <c r="AJ237" s="117">
        <v>-2060725</v>
      </c>
      <c r="AK237" s="20">
        <v>0</v>
      </c>
      <c r="AL237" s="99">
        <f t="shared" si="48"/>
        <v>116</v>
      </c>
      <c r="AM237" s="20">
        <f t="shared" ref="AM237:AM242" si="52">AJ237*AL237</f>
        <v>-239044100</v>
      </c>
      <c r="AN237" s="99" t="s">
        <v>4841</v>
      </c>
    </row>
    <row r="238" spans="17:44">
      <c r="T238" s="213" t="s">
        <v>5019</v>
      </c>
      <c r="U238" s="213">
        <v>1145</v>
      </c>
      <c r="V238" s="113">
        <v>325.44</v>
      </c>
      <c r="W238" s="113">
        <f t="shared" si="44"/>
        <v>372628.8</v>
      </c>
      <c r="X238" s="99" t="s">
        <v>452</v>
      </c>
      <c r="AH238" s="149">
        <v>42</v>
      </c>
      <c r="AI238" s="149" t="s">
        <v>4840</v>
      </c>
      <c r="AJ238" s="188">
        <v>-433375</v>
      </c>
      <c r="AK238" s="149">
        <v>0</v>
      </c>
      <c r="AL238" s="149">
        <f t="shared" si="48"/>
        <v>116</v>
      </c>
      <c r="AM238" s="149">
        <f t="shared" si="52"/>
        <v>-50271500</v>
      </c>
      <c r="AN238" s="149" t="s">
        <v>4842</v>
      </c>
      <c r="AR238" t="s">
        <v>25</v>
      </c>
    </row>
    <row r="239" spans="17:44">
      <c r="Q239" s="99" t="s">
        <v>452</v>
      </c>
      <c r="R239" s="99"/>
      <c r="T239" s="213" t="s">
        <v>5031</v>
      </c>
      <c r="U239" s="213">
        <v>20153</v>
      </c>
      <c r="V239" s="113">
        <v>322</v>
      </c>
      <c r="W239" s="113">
        <f t="shared" si="44"/>
        <v>6489266</v>
      </c>
      <c r="X239" s="99" t="s">
        <v>452</v>
      </c>
      <c r="AH239" s="20">
        <v>43</v>
      </c>
      <c r="AI239" s="20" t="s">
        <v>4840</v>
      </c>
      <c r="AJ239" s="117">
        <v>28000000</v>
      </c>
      <c r="AK239" s="20">
        <v>1</v>
      </c>
      <c r="AL239" s="99">
        <f t="shared" si="48"/>
        <v>116</v>
      </c>
      <c r="AM239" s="20">
        <f t="shared" si="52"/>
        <v>3248000000</v>
      </c>
      <c r="AN239" s="99" t="s">
        <v>3891</v>
      </c>
      <c r="AR239" t="s">
        <v>25</v>
      </c>
    </row>
    <row r="240" spans="17:44">
      <c r="Q240" s="99" t="s">
        <v>4438</v>
      </c>
      <c r="R240" s="95">
        <v>63115000</v>
      </c>
      <c r="T240" s="213" t="s">
        <v>5045</v>
      </c>
      <c r="U240" s="213">
        <v>93720</v>
      </c>
      <c r="V240" s="113">
        <v>325.435</v>
      </c>
      <c r="W240" s="113">
        <f t="shared" si="44"/>
        <v>30499768.199999999</v>
      </c>
      <c r="X240" s="99" t="s">
        <v>1087</v>
      </c>
      <c r="AH240" s="20">
        <v>44</v>
      </c>
      <c r="AI240" s="20" t="s">
        <v>4849</v>
      </c>
      <c r="AJ240" s="117">
        <v>160000</v>
      </c>
      <c r="AK240" s="20">
        <v>0</v>
      </c>
      <c r="AL240" s="99">
        <f t="shared" si="48"/>
        <v>115</v>
      </c>
      <c r="AM240" s="20">
        <f t="shared" si="52"/>
        <v>18400000</v>
      </c>
      <c r="AN240" s="99"/>
    </row>
    <row r="241" spans="17:43">
      <c r="Q241" s="99" t="s">
        <v>4492</v>
      </c>
      <c r="R241" s="95">
        <v>13300000</v>
      </c>
      <c r="T241" s="213" t="s">
        <v>5045</v>
      </c>
      <c r="U241" s="213">
        <v>20895</v>
      </c>
      <c r="V241" s="113">
        <v>325.435</v>
      </c>
      <c r="W241" s="113">
        <f t="shared" si="44"/>
        <v>6799964.3250000002</v>
      </c>
      <c r="X241" s="99" t="s">
        <v>751</v>
      </c>
      <c r="AH241" s="149">
        <v>45</v>
      </c>
      <c r="AI241" s="149" t="s">
        <v>4849</v>
      </c>
      <c r="AJ241" s="188">
        <v>70000</v>
      </c>
      <c r="AK241" s="149">
        <v>9</v>
      </c>
      <c r="AL241" s="149">
        <f t="shared" si="48"/>
        <v>115</v>
      </c>
      <c r="AM241" s="149">
        <f t="shared" si="52"/>
        <v>8050000</v>
      </c>
      <c r="AN241" s="149"/>
    </row>
    <row r="242" spans="17:43">
      <c r="Q242" s="99" t="s">
        <v>4500</v>
      </c>
      <c r="R242" s="95">
        <v>2269000</v>
      </c>
      <c r="T242" s="213" t="s">
        <v>5061</v>
      </c>
      <c r="U242" s="213">
        <v>2611</v>
      </c>
      <c r="V242" s="113">
        <v>325.435</v>
      </c>
      <c r="W242" s="113">
        <f t="shared" si="44"/>
        <v>849710.78500000003</v>
      </c>
      <c r="X242" s="99" t="s">
        <v>751</v>
      </c>
      <c r="AH242" s="20">
        <v>46</v>
      </c>
      <c r="AI242" s="20" t="s">
        <v>4858</v>
      </c>
      <c r="AJ242" s="117">
        <v>850000</v>
      </c>
      <c r="AK242" s="20">
        <v>0</v>
      </c>
      <c r="AL242" s="99">
        <f t="shared" si="48"/>
        <v>106</v>
      </c>
      <c r="AM242" s="20">
        <f t="shared" si="52"/>
        <v>90100000</v>
      </c>
      <c r="AN242" s="99"/>
    </row>
    <row r="243" spans="17:43">
      <c r="Q243" s="99" t="s">
        <v>4615</v>
      </c>
      <c r="R243" s="95">
        <v>25071612</v>
      </c>
      <c r="T243" s="213" t="s">
        <v>5071</v>
      </c>
      <c r="U243" s="213">
        <v>6750</v>
      </c>
      <c r="V243" s="113">
        <v>339.3</v>
      </c>
      <c r="W243" s="113">
        <f t="shared" si="44"/>
        <v>2290275</v>
      </c>
      <c r="X243" s="99" t="s">
        <v>751</v>
      </c>
      <c r="AH243" s="195">
        <v>47</v>
      </c>
      <c r="AI243" s="195" t="s">
        <v>4858</v>
      </c>
      <c r="AJ243" s="196">
        <v>20000</v>
      </c>
      <c r="AK243" s="195">
        <v>4</v>
      </c>
      <c r="AL243" s="195">
        <f t="shared" ref="AL243:AL251" si="53">AK243+AL244</f>
        <v>106</v>
      </c>
      <c r="AM243" s="195">
        <f t="shared" ref="AM243:AM251" si="54">AJ243*AL243</f>
        <v>2120000</v>
      </c>
      <c r="AN243" s="195"/>
    </row>
    <row r="244" spans="17:43">
      <c r="Q244" s="99" t="s">
        <v>4624</v>
      </c>
      <c r="R244" s="95">
        <v>42236984</v>
      </c>
      <c r="T244" s="213" t="s">
        <v>5087</v>
      </c>
      <c r="U244" s="213">
        <v>1850</v>
      </c>
      <c r="V244" s="113">
        <v>334.10050000000001</v>
      </c>
      <c r="W244" s="113">
        <f t="shared" si="44"/>
        <v>618085.92500000005</v>
      </c>
      <c r="X244" s="99" t="s">
        <v>452</v>
      </c>
      <c r="AH244" s="195">
        <v>48</v>
      </c>
      <c r="AI244" s="195" t="s">
        <v>4871</v>
      </c>
      <c r="AJ244" s="196">
        <v>30000000</v>
      </c>
      <c r="AK244" s="195">
        <v>27</v>
      </c>
      <c r="AL244" s="195">
        <f t="shared" si="53"/>
        <v>102</v>
      </c>
      <c r="AM244" s="195">
        <f t="shared" si="54"/>
        <v>3060000000</v>
      </c>
      <c r="AN244" s="195" t="s">
        <v>4873</v>
      </c>
    </row>
    <row r="245" spans="17:43">
      <c r="Q245" s="99" t="s">
        <v>4625</v>
      </c>
      <c r="R245" s="95">
        <v>19663646</v>
      </c>
      <c r="T245" s="213" t="s">
        <v>5087</v>
      </c>
      <c r="U245" s="213">
        <v>-1194</v>
      </c>
      <c r="V245" s="113">
        <v>335</v>
      </c>
      <c r="W245" s="113">
        <f t="shared" si="44"/>
        <v>-399990</v>
      </c>
      <c r="X245" s="99" t="s">
        <v>4445</v>
      </c>
      <c r="AH245" s="20">
        <v>49</v>
      </c>
      <c r="AI245" s="20" t="s">
        <v>4955</v>
      </c>
      <c r="AJ245" s="117">
        <v>1100000</v>
      </c>
      <c r="AK245" s="20">
        <v>1</v>
      </c>
      <c r="AL245" s="20">
        <f t="shared" si="53"/>
        <v>75</v>
      </c>
      <c r="AM245" s="20">
        <f t="shared" si="54"/>
        <v>82500000</v>
      </c>
      <c r="AN245" s="20"/>
    </row>
    <row r="246" spans="17:43">
      <c r="Q246" s="99" t="s">
        <v>4649</v>
      </c>
      <c r="R246" s="95">
        <v>4374525</v>
      </c>
      <c r="T246" s="213" t="s">
        <v>5087</v>
      </c>
      <c r="U246" s="213">
        <v>1194</v>
      </c>
      <c r="V246" s="113">
        <v>335</v>
      </c>
      <c r="W246" s="113">
        <f t="shared" si="44"/>
        <v>399990</v>
      </c>
      <c r="X246" s="99" t="s">
        <v>751</v>
      </c>
      <c r="AH246" s="20">
        <v>50</v>
      </c>
      <c r="AI246" s="20" t="s">
        <v>4957</v>
      </c>
      <c r="AJ246" s="117">
        <v>450000</v>
      </c>
      <c r="AK246" s="20">
        <v>0</v>
      </c>
      <c r="AL246" s="20">
        <f t="shared" si="53"/>
        <v>74</v>
      </c>
      <c r="AM246" s="20">
        <f t="shared" si="54"/>
        <v>33300000</v>
      </c>
      <c r="AN246" s="20"/>
    </row>
    <row r="247" spans="17:43">
      <c r="Q247" s="99" t="s">
        <v>4661</v>
      </c>
      <c r="R247" s="95">
        <v>6550580</v>
      </c>
      <c r="T247" s="213" t="s">
        <v>5095</v>
      </c>
      <c r="U247" s="213">
        <v>433</v>
      </c>
      <c r="V247" s="113">
        <v>345.68</v>
      </c>
      <c r="W247" s="113">
        <f t="shared" si="44"/>
        <v>149679.44</v>
      </c>
      <c r="X247" s="99" t="s">
        <v>751</v>
      </c>
      <c r="AH247" s="149">
        <v>51</v>
      </c>
      <c r="AI247" s="149" t="s">
        <v>4957</v>
      </c>
      <c r="AJ247" s="188">
        <v>550000</v>
      </c>
      <c r="AK247" s="149">
        <v>1</v>
      </c>
      <c r="AL247" s="149">
        <f t="shared" si="53"/>
        <v>74</v>
      </c>
      <c r="AM247" s="149">
        <f t="shared" si="54"/>
        <v>40700000</v>
      </c>
      <c r="AN247" s="149"/>
    </row>
    <row r="248" spans="17:43">
      <c r="Q248" s="99" t="s">
        <v>4663</v>
      </c>
      <c r="R248" s="95">
        <v>7054895</v>
      </c>
      <c r="T248" s="213" t="s">
        <v>5103</v>
      </c>
      <c r="U248" s="213">
        <v>55459</v>
      </c>
      <c r="V248" s="113">
        <v>362.51978000000003</v>
      </c>
      <c r="W248" s="113">
        <f t="shared" si="44"/>
        <v>20104984.479020003</v>
      </c>
      <c r="X248" s="99" t="s">
        <v>452</v>
      </c>
      <c r="AH248" s="149">
        <v>52</v>
      </c>
      <c r="AI248" s="149" t="s">
        <v>4959</v>
      </c>
      <c r="AJ248" s="188">
        <v>1000000</v>
      </c>
      <c r="AK248" s="149">
        <v>8</v>
      </c>
      <c r="AL248" s="149">
        <f t="shared" si="53"/>
        <v>73</v>
      </c>
      <c r="AM248" s="149">
        <f t="shared" si="54"/>
        <v>73000000</v>
      </c>
      <c r="AN248" s="149"/>
    </row>
    <row r="249" spans="17:43">
      <c r="Q249" s="99" t="s">
        <v>4686</v>
      </c>
      <c r="R249" s="95">
        <v>2145814</v>
      </c>
      <c r="T249" s="213" t="s">
        <v>5109</v>
      </c>
      <c r="U249" s="213">
        <v>-57212</v>
      </c>
      <c r="V249" s="113">
        <v>368.45400000000001</v>
      </c>
      <c r="W249" s="113">
        <f t="shared" si="44"/>
        <v>-21079990.248</v>
      </c>
      <c r="X249" s="99" t="s">
        <v>452</v>
      </c>
      <c r="AH249" s="20">
        <v>53</v>
      </c>
      <c r="AI249" s="20" t="s">
        <v>4969</v>
      </c>
      <c r="AJ249" s="117">
        <v>-2668880</v>
      </c>
      <c r="AK249" s="20">
        <v>0</v>
      </c>
      <c r="AL249" s="20">
        <f t="shared" si="53"/>
        <v>65</v>
      </c>
      <c r="AM249" s="20">
        <f t="shared" si="54"/>
        <v>-173477200</v>
      </c>
      <c r="AN249" s="20" t="s">
        <v>4971</v>
      </c>
      <c r="AP249" t="s">
        <v>25</v>
      </c>
    </row>
    <row r="250" spans="17:43">
      <c r="Q250" s="99" t="s">
        <v>4698</v>
      </c>
      <c r="R250" s="95">
        <v>4369730</v>
      </c>
      <c r="T250" s="213" t="s">
        <v>5112</v>
      </c>
      <c r="U250" s="213">
        <v>-15881</v>
      </c>
      <c r="V250" s="113">
        <v>374.61599999999999</v>
      </c>
      <c r="W250" s="113">
        <f t="shared" si="44"/>
        <v>-5949276.6959999995</v>
      </c>
      <c r="X250" s="99" t="s">
        <v>452</v>
      </c>
      <c r="Y250" t="s">
        <v>25</v>
      </c>
      <c r="AH250" s="149">
        <v>54</v>
      </c>
      <c r="AI250" s="149" t="s">
        <v>4969</v>
      </c>
      <c r="AJ250" s="188">
        <v>-1528620</v>
      </c>
      <c r="AK250" s="149">
        <v>0</v>
      </c>
      <c r="AL250" s="149">
        <f t="shared" si="53"/>
        <v>65</v>
      </c>
      <c r="AM250" s="149">
        <f t="shared" si="54"/>
        <v>-99360300</v>
      </c>
      <c r="AN250" s="149" t="s">
        <v>4971</v>
      </c>
    </row>
    <row r="251" spans="17:43">
      <c r="Q251" s="99" t="s">
        <v>4700</v>
      </c>
      <c r="R251" s="95">
        <v>8739459</v>
      </c>
      <c r="T251" s="213" t="s">
        <v>5123</v>
      </c>
      <c r="U251" s="213">
        <v>-41289</v>
      </c>
      <c r="V251" s="113">
        <v>372.27</v>
      </c>
      <c r="W251" s="113">
        <f t="shared" si="44"/>
        <v>-15370656.029999999</v>
      </c>
      <c r="X251" s="99" t="s">
        <v>452</v>
      </c>
      <c r="Y251" t="s">
        <v>25</v>
      </c>
      <c r="AH251" s="20">
        <v>55</v>
      </c>
      <c r="AI251" s="20" t="s">
        <v>4969</v>
      </c>
      <c r="AJ251" s="117">
        <v>50000000</v>
      </c>
      <c r="AK251" s="20">
        <v>4</v>
      </c>
      <c r="AL251" s="20">
        <f t="shared" si="53"/>
        <v>65</v>
      </c>
      <c r="AM251" s="20">
        <f t="shared" si="54"/>
        <v>3250000000</v>
      </c>
      <c r="AN251" s="20"/>
    </row>
    <row r="252" spans="17:43">
      <c r="Q252" s="99" t="s">
        <v>4709</v>
      </c>
      <c r="R252" s="95">
        <v>6667654</v>
      </c>
      <c r="T252" s="213" t="s">
        <v>5136</v>
      </c>
      <c r="U252" s="213">
        <v>13563</v>
      </c>
      <c r="V252" s="113">
        <v>365.69799999999998</v>
      </c>
      <c r="W252" s="113">
        <f t="shared" si="44"/>
        <v>4959961.9739999995</v>
      </c>
      <c r="X252" s="99" t="s">
        <v>452</v>
      </c>
      <c r="AH252" s="20">
        <v>56</v>
      </c>
      <c r="AI252" s="20" t="s">
        <v>4975</v>
      </c>
      <c r="AJ252" s="117">
        <v>400000</v>
      </c>
      <c r="AK252" s="20">
        <v>4</v>
      </c>
      <c r="AL252" s="20">
        <f t="shared" ref="AL252:AL261" si="55">AK252+AL253</f>
        <v>61</v>
      </c>
      <c r="AM252" s="20">
        <f t="shared" ref="AM252:AM261" si="56">AJ252*AL252</f>
        <v>24400000</v>
      </c>
      <c r="AN252" s="20"/>
    </row>
    <row r="253" spans="17:43">
      <c r="Q253" s="99" t="s">
        <v>3684</v>
      </c>
      <c r="R253" s="95">
        <v>8981245</v>
      </c>
      <c r="T253" s="213" t="s">
        <v>5136</v>
      </c>
      <c r="U253" s="213">
        <v>27344</v>
      </c>
      <c r="V253" s="113">
        <v>365.69799999999998</v>
      </c>
      <c r="W253" s="113">
        <f t="shared" si="44"/>
        <v>9999646.1119999997</v>
      </c>
      <c r="X253" s="99" t="s">
        <v>452</v>
      </c>
      <c r="AH253" s="20">
        <v>57</v>
      </c>
      <c r="AI253" s="20" t="s">
        <v>4988</v>
      </c>
      <c r="AJ253" s="117">
        <v>2000000</v>
      </c>
      <c r="AK253" s="20">
        <v>3</v>
      </c>
      <c r="AL253" s="20">
        <f t="shared" si="55"/>
        <v>57</v>
      </c>
      <c r="AM253" s="20">
        <f t="shared" si="56"/>
        <v>114000000</v>
      </c>
      <c r="AN253" s="20"/>
      <c r="AQ253" t="s">
        <v>25</v>
      </c>
    </row>
    <row r="254" spans="17:43">
      <c r="Q254" s="99" t="s">
        <v>4722</v>
      </c>
      <c r="R254" s="95">
        <v>9181756</v>
      </c>
      <c r="T254" s="168"/>
      <c r="U254" s="168"/>
      <c r="V254" s="113"/>
      <c r="W254" s="113"/>
      <c r="X254" s="99"/>
      <c r="AH254" s="20">
        <v>58</v>
      </c>
      <c r="AI254" s="20" t="s">
        <v>4991</v>
      </c>
      <c r="AJ254" s="117">
        <v>100000</v>
      </c>
      <c r="AK254" s="20">
        <v>4</v>
      </c>
      <c r="AL254" s="20">
        <f t="shared" si="55"/>
        <v>54</v>
      </c>
      <c r="AM254" s="20">
        <f t="shared" si="56"/>
        <v>5400000</v>
      </c>
      <c r="AN254" s="20" t="s">
        <v>3891</v>
      </c>
    </row>
    <row r="255" spans="17:43">
      <c r="Q255" s="99" t="s">
        <v>4726</v>
      </c>
      <c r="R255" s="95">
        <v>11811208</v>
      </c>
      <c r="T255" s="168"/>
      <c r="U255" s="168">
        <f>SUM(U166:U254)</f>
        <v>3697700</v>
      </c>
      <c r="V255" s="99"/>
      <c r="W255" s="99"/>
      <c r="X255" s="99"/>
      <c r="AH255" s="20">
        <v>59</v>
      </c>
      <c r="AI255" s="20" t="s">
        <v>5002</v>
      </c>
      <c r="AJ255" s="117">
        <v>100000</v>
      </c>
      <c r="AK255" s="20">
        <v>7</v>
      </c>
      <c r="AL255" s="20">
        <f t="shared" si="55"/>
        <v>50</v>
      </c>
      <c r="AM255" s="20">
        <f t="shared" si="56"/>
        <v>5000000</v>
      </c>
      <c r="AN255" s="20"/>
    </row>
    <row r="256" spans="17:43">
      <c r="Q256" s="99" t="s">
        <v>4740</v>
      </c>
      <c r="R256" s="95">
        <v>41248054</v>
      </c>
      <c r="T256" s="99"/>
      <c r="U256" s="99" t="s">
        <v>6</v>
      </c>
      <c r="V256" s="99"/>
      <c r="W256" s="99"/>
      <c r="X256" s="99"/>
      <c r="AH256" s="20">
        <v>60</v>
      </c>
      <c r="AI256" s="20" t="s">
        <v>5019</v>
      </c>
      <c r="AJ256" s="117">
        <v>50000</v>
      </c>
      <c r="AK256" s="20">
        <v>0</v>
      </c>
      <c r="AL256" s="20">
        <f t="shared" si="55"/>
        <v>43</v>
      </c>
      <c r="AM256" s="20">
        <f t="shared" si="56"/>
        <v>2150000</v>
      </c>
      <c r="AN256" s="20"/>
    </row>
    <row r="257" spans="17:45">
      <c r="Q257" s="99" t="s">
        <v>4748</v>
      </c>
      <c r="R257" s="95">
        <v>37328780</v>
      </c>
      <c r="T257" s="200" t="s">
        <v>4482</v>
      </c>
      <c r="AH257" s="149">
        <v>61</v>
      </c>
      <c r="AI257" s="149" t="s">
        <v>5019</v>
      </c>
      <c r="AJ257" s="188">
        <v>50000</v>
      </c>
      <c r="AK257" s="149">
        <v>3</v>
      </c>
      <c r="AL257" s="149">
        <f t="shared" si="55"/>
        <v>43</v>
      </c>
      <c r="AM257" s="149">
        <f t="shared" si="56"/>
        <v>2150000</v>
      </c>
      <c r="AN257" s="149"/>
    </row>
    <row r="258" spans="17:45">
      <c r="Q258" s="99" t="s">
        <v>4755</v>
      </c>
      <c r="R258" s="95">
        <v>50000000</v>
      </c>
      <c r="T258" s="199">
        <f>R179/U255</f>
        <v>374.97609635719499</v>
      </c>
      <c r="AH258" s="20">
        <v>62</v>
      </c>
      <c r="AI258" s="20" t="s">
        <v>5024</v>
      </c>
      <c r="AJ258" s="117">
        <v>50000</v>
      </c>
      <c r="AK258" s="20">
        <v>0</v>
      </c>
      <c r="AL258" s="20">
        <f t="shared" si="55"/>
        <v>40</v>
      </c>
      <c r="AM258" s="20">
        <f t="shared" si="56"/>
        <v>2000000</v>
      </c>
      <c r="AN258" s="20"/>
    </row>
    <row r="259" spans="17:45">
      <c r="Q259" s="99" t="s">
        <v>4821</v>
      </c>
      <c r="R259" s="95">
        <v>68656</v>
      </c>
      <c r="W259" s="114"/>
      <c r="AH259" s="195">
        <v>63</v>
      </c>
      <c r="AI259" s="195" t="s">
        <v>5024</v>
      </c>
      <c r="AJ259" s="196">
        <v>50000</v>
      </c>
      <c r="AK259" s="195">
        <v>2</v>
      </c>
      <c r="AL259" s="195">
        <f t="shared" si="55"/>
        <v>40</v>
      </c>
      <c r="AM259" s="195">
        <f t="shared" si="56"/>
        <v>2000000</v>
      </c>
      <c r="AN259" s="195"/>
    </row>
    <row r="260" spans="17:45">
      <c r="Q260" s="99" t="s">
        <v>4835</v>
      </c>
      <c r="R260" s="95">
        <v>4000236</v>
      </c>
      <c r="U260" s="96" t="s">
        <v>267</v>
      </c>
      <c r="V260" t="s">
        <v>4483</v>
      </c>
      <c r="X260" t="s">
        <v>25</v>
      </c>
      <c r="AH260" s="20">
        <v>64</v>
      </c>
      <c r="AI260" s="20" t="s">
        <v>5034</v>
      </c>
      <c r="AJ260" s="117">
        <v>25000</v>
      </c>
      <c r="AK260" s="20">
        <v>0</v>
      </c>
      <c r="AL260" s="20">
        <f t="shared" si="55"/>
        <v>38</v>
      </c>
      <c r="AM260" s="20">
        <f t="shared" si="56"/>
        <v>950000</v>
      </c>
      <c r="AN260" s="20"/>
    </row>
    <row r="261" spans="17:45">
      <c r="Q261" s="99" t="s">
        <v>4835</v>
      </c>
      <c r="R261" s="95">
        <v>2250000</v>
      </c>
      <c r="T261" s="114"/>
      <c r="U261" s="113">
        <v>10000000</v>
      </c>
      <c r="V261">
        <f>U261/T258</f>
        <v>26668.366589624406</v>
      </c>
      <c r="X261" t="s">
        <v>25</v>
      </c>
      <c r="AH261" s="149">
        <v>65</v>
      </c>
      <c r="AI261" s="149" t="s">
        <v>5034</v>
      </c>
      <c r="AJ261" s="188">
        <v>35000</v>
      </c>
      <c r="AK261" s="149">
        <v>7</v>
      </c>
      <c r="AL261" s="149">
        <f t="shared" si="55"/>
        <v>38</v>
      </c>
      <c r="AM261" s="149">
        <f t="shared" si="56"/>
        <v>1330000</v>
      </c>
      <c r="AN261" s="149"/>
    </row>
    <row r="262" spans="17:45">
      <c r="Q262" s="99" t="s">
        <v>4840</v>
      </c>
      <c r="R262" s="95">
        <v>-2512200</v>
      </c>
      <c r="X262" t="s">
        <v>25</v>
      </c>
      <c r="AH262" s="149">
        <v>66</v>
      </c>
      <c r="AI262" s="149" t="s">
        <v>5045</v>
      </c>
      <c r="AJ262" s="188">
        <v>30000000</v>
      </c>
      <c r="AK262" s="149">
        <v>0</v>
      </c>
      <c r="AL262" s="149">
        <f t="shared" ref="AL262:AL285" si="57">AK262+AL263</f>
        <v>31</v>
      </c>
      <c r="AM262" s="149">
        <f t="shared" ref="AM262:AM285" si="58">AJ262*AL262</f>
        <v>930000000</v>
      </c>
      <c r="AN262" s="149"/>
    </row>
    <row r="263" spans="17:45">
      <c r="Q263" s="99" t="s">
        <v>4849</v>
      </c>
      <c r="R263" s="95">
        <v>300000</v>
      </c>
      <c r="W263" s="223"/>
      <c r="X263" s="96" t="s">
        <v>25</v>
      </c>
      <c r="AH263" s="20">
        <v>67</v>
      </c>
      <c r="AI263" s="20" t="s">
        <v>5045</v>
      </c>
      <c r="AJ263" s="117">
        <v>6800000</v>
      </c>
      <c r="AK263" s="20">
        <v>1</v>
      </c>
      <c r="AL263" s="20">
        <f t="shared" si="57"/>
        <v>31</v>
      </c>
      <c r="AM263" s="20">
        <f t="shared" si="58"/>
        <v>210800000</v>
      </c>
      <c r="AN263" s="20"/>
    </row>
    <row r="264" spans="17:45">
      <c r="Q264" s="99" t="s">
        <v>981</v>
      </c>
      <c r="R264" s="95">
        <v>1100000</v>
      </c>
      <c r="X264" t="s">
        <v>25</v>
      </c>
      <c r="AH264" s="20">
        <v>68</v>
      </c>
      <c r="AI264" s="20" t="s">
        <v>5053</v>
      </c>
      <c r="AJ264" s="117">
        <v>500000</v>
      </c>
      <c r="AK264" s="20">
        <v>1</v>
      </c>
      <c r="AL264" s="20">
        <f t="shared" si="57"/>
        <v>30</v>
      </c>
      <c r="AM264" s="20">
        <f t="shared" si="58"/>
        <v>15000000</v>
      </c>
      <c r="AN264" s="20"/>
    </row>
    <row r="265" spans="17:45">
      <c r="Q265" s="99" t="s">
        <v>4858</v>
      </c>
      <c r="R265" s="95">
        <v>890000</v>
      </c>
      <c r="X265" t="s">
        <v>25</v>
      </c>
      <c r="AH265" s="20">
        <v>69</v>
      </c>
      <c r="AI265" s="20" t="s">
        <v>5061</v>
      </c>
      <c r="AJ265" s="117">
        <v>850000</v>
      </c>
      <c r="AK265" s="20">
        <v>5</v>
      </c>
      <c r="AL265" s="20">
        <f t="shared" si="57"/>
        <v>29</v>
      </c>
      <c r="AM265" s="20">
        <f t="shared" si="58"/>
        <v>24650000</v>
      </c>
      <c r="AN265" s="20"/>
    </row>
    <row r="266" spans="17:45" ht="60">
      <c r="Q266" s="99" t="s">
        <v>4879</v>
      </c>
      <c r="R266" s="95">
        <v>1000000</v>
      </c>
      <c r="T266" s="22" t="s">
        <v>4466</v>
      </c>
      <c r="V266" s="223"/>
      <c r="AH266" s="20">
        <v>70</v>
      </c>
      <c r="AI266" s="20" t="s">
        <v>5071</v>
      </c>
      <c r="AJ266" s="117">
        <v>1130250</v>
      </c>
      <c r="AK266" s="20">
        <v>0</v>
      </c>
      <c r="AL266" s="20">
        <f t="shared" si="57"/>
        <v>24</v>
      </c>
      <c r="AM266" s="20">
        <f t="shared" si="58"/>
        <v>27126000</v>
      </c>
      <c r="AN266" s="20"/>
    </row>
    <row r="267" spans="17:45" ht="45">
      <c r="Q267" s="99" t="s">
        <v>4880</v>
      </c>
      <c r="R267" s="95">
        <v>45436311</v>
      </c>
      <c r="T267" s="22" t="s">
        <v>4467</v>
      </c>
      <c r="Y267" t="s">
        <v>25</v>
      </c>
      <c r="AH267" s="261">
        <v>71</v>
      </c>
      <c r="AI267" s="261" t="s">
        <v>5071</v>
      </c>
      <c r="AJ267" s="252">
        <v>30000</v>
      </c>
      <c r="AK267" s="261">
        <v>5</v>
      </c>
      <c r="AL267" s="261">
        <f t="shared" si="57"/>
        <v>24</v>
      </c>
      <c r="AM267" s="261">
        <f t="shared" si="58"/>
        <v>720000</v>
      </c>
      <c r="AN267" s="261"/>
      <c r="AS267" t="s">
        <v>25</v>
      </c>
    </row>
    <row r="268" spans="17:45">
      <c r="Q268" s="99" t="s">
        <v>4880</v>
      </c>
      <c r="R268" s="95">
        <v>-3500000</v>
      </c>
      <c r="AH268" s="20">
        <v>72</v>
      </c>
      <c r="AI268" s="20" t="s">
        <v>5087</v>
      </c>
      <c r="AJ268" s="117">
        <v>206000</v>
      </c>
      <c r="AK268" s="20">
        <v>0</v>
      </c>
      <c r="AL268" s="20">
        <f t="shared" si="57"/>
        <v>19</v>
      </c>
      <c r="AM268" s="20">
        <f t="shared" si="58"/>
        <v>3914000</v>
      </c>
      <c r="AN268" s="20"/>
    </row>
    <row r="269" spans="17:45">
      <c r="Q269" s="99" t="s">
        <v>4895</v>
      </c>
      <c r="R269" s="95">
        <v>2520000</v>
      </c>
      <c r="AH269" s="149">
        <v>73</v>
      </c>
      <c r="AI269" s="149" t="s">
        <v>5087</v>
      </c>
      <c r="AJ269" s="188">
        <v>206000</v>
      </c>
      <c r="AK269" s="149">
        <v>2</v>
      </c>
      <c r="AL269" s="149">
        <f t="shared" si="57"/>
        <v>19</v>
      </c>
      <c r="AM269" s="149">
        <f t="shared" si="58"/>
        <v>3914000</v>
      </c>
      <c r="AN269" s="149"/>
    </row>
    <row r="270" spans="17:45">
      <c r="Q270" s="99" t="s">
        <v>4932</v>
      </c>
      <c r="R270" s="95">
        <v>4900000</v>
      </c>
      <c r="T270" s="99" t="s">
        <v>4484</v>
      </c>
      <c r="U270" s="99" t="s">
        <v>4455</v>
      </c>
      <c r="V270" s="99" t="s">
        <v>953</v>
      </c>
      <c r="AH270" s="20">
        <v>74</v>
      </c>
      <c r="AI270" s="20" t="s">
        <v>5095</v>
      </c>
      <c r="AJ270" s="117">
        <v>50000</v>
      </c>
      <c r="AK270" s="20">
        <v>0</v>
      </c>
      <c r="AL270" s="20">
        <f t="shared" si="57"/>
        <v>17</v>
      </c>
      <c r="AM270" s="20">
        <f t="shared" si="58"/>
        <v>850000</v>
      </c>
      <c r="AN270" s="20"/>
    </row>
    <row r="271" spans="17:45">
      <c r="Q271" s="99" t="s">
        <v>4955</v>
      </c>
      <c r="R271" s="95">
        <v>1150000</v>
      </c>
      <c r="T271" s="95">
        <f>S199+R235+R287</f>
        <v>933463136</v>
      </c>
      <c r="U271" s="95">
        <f>R179</f>
        <v>1386549111.5</v>
      </c>
      <c r="V271" s="95">
        <f>U271-T271</f>
        <v>453085975.5</v>
      </c>
      <c r="AH271" s="261">
        <v>75</v>
      </c>
      <c r="AI271" s="261" t="s">
        <v>5095</v>
      </c>
      <c r="AJ271" s="252">
        <v>50000</v>
      </c>
      <c r="AK271" s="261">
        <v>2</v>
      </c>
      <c r="AL271" s="261">
        <f t="shared" si="57"/>
        <v>17</v>
      </c>
      <c r="AM271" s="261">
        <f t="shared" si="58"/>
        <v>850000</v>
      </c>
      <c r="AN271" s="261"/>
      <c r="AR271" t="s">
        <v>25</v>
      </c>
    </row>
    <row r="272" spans="17:45">
      <c r="Q272" s="99" t="s">
        <v>4904</v>
      </c>
      <c r="R272" s="95">
        <v>250000</v>
      </c>
      <c r="AH272" s="20">
        <v>76</v>
      </c>
      <c r="AI272" s="20" t="s">
        <v>5103</v>
      </c>
      <c r="AJ272" s="117">
        <v>20000000</v>
      </c>
      <c r="AK272" s="20">
        <v>7</v>
      </c>
      <c r="AL272" s="20">
        <f t="shared" si="57"/>
        <v>15</v>
      </c>
      <c r="AM272" s="20">
        <f t="shared" si="58"/>
        <v>300000000</v>
      </c>
      <c r="AN272" s="20" t="s">
        <v>5104</v>
      </c>
    </row>
    <row r="273" spans="17:40">
      <c r="Q273" s="99" t="s">
        <v>4997</v>
      </c>
      <c r="R273" s="95">
        <v>1403460</v>
      </c>
      <c r="AH273" s="20">
        <v>77</v>
      </c>
      <c r="AI273" s="20" t="s">
        <v>5123</v>
      </c>
      <c r="AJ273" s="117">
        <v>50000</v>
      </c>
      <c r="AK273" s="20">
        <v>0</v>
      </c>
      <c r="AL273" s="20">
        <f t="shared" si="57"/>
        <v>8</v>
      </c>
      <c r="AM273" s="20">
        <f t="shared" si="58"/>
        <v>400000</v>
      </c>
      <c r="AN273" s="20"/>
    </row>
    <row r="274" spans="17:40">
      <c r="Q274" s="99" t="s">
        <v>5002</v>
      </c>
      <c r="R274" s="95">
        <v>200000</v>
      </c>
      <c r="AH274" s="149">
        <v>78</v>
      </c>
      <c r="AI274" s="149" t="s">
        <v>5123</v>
      </c>
      <c r="AJ274" s="188">
        <v>50000</v>
      </c>
      <c r="AK274" s="149">
        <v>7</v>
      </c>
      <c r="AL274" s="149">
        <f t="shared" si="57"/>
        <v>8</v>
      </c>
      <c r="AM274" s="149">
        <f t="shared" si="58"/>
        <v>400000</v>
      </c>
      <c r="AN274" s="149"/>
    </row>
    <row r="275" spans="17:40">
      <c r="Q275" s="99" t="s">
        <v>5009</v>
      </c>
      <c r="R275" s="95">
        <v>345000</v>
      </c>
      <c r="AH275" s="20">
        <v>79</v>
      </c>
      <c r="AI275" s="20" t="s">
        <v>5136</v>
      </c>
      <c r="AJ275" s="117">
        <v>2480000</v>
      </c>
      <c r="AK275" s="20">
        <v>0</v>
      </c>
      <c r="AL275" s="20">
        <f t="shared" si="57"/>
        <v>1</v>
      </c>
      <c r="AM275" s="20">
        <f t="shared" si="58"/>
        <v>2480000</v>
      </c>
      <c r="AN275" s="20"/>
    </row>
    <row r="276" spans="17:40">
      <c r="Q276" s="99" t="s">
        <v>5015</v>
      </c>
      <c r="R276" s="95">
        <v>900000</v>
      </c>
      <c r="T276" t="s">
        <v>25</v>
      </c>
      <c r="AH276" s="149">
        <v>80</v>
      </c>
      <c r="AI276" s="149" t="s">
        <v>5136</v>
      </c>
      <c r="AJ276" s="188">
        <v>2480000</v>
      </c>
      <c r="AK276" s="149">
        <v>1</v>
      </c>
      <c r="AL276" s="149">
        <f t="shared" si="57"/>
        <v>1</v>
      </c>
      <c r="AM276" s="149">
        <f t="shared" si="58"/>
        <v>2480000</v>
      </c>
      <c r="AN276" s="149"/>
    </row>
    <row r="277" spans="17:40">
      <c r="Q277" s="99" t="s">
        <v>5019</v>
      </c>
      <c r="R277" s="95">
        <v>372517</v>
      </c>
      <c r="T277" t="s">
        <v>25</v>
      </c>
      <c r="AH277" s="20"/>
      <c r="AI277" s="20"/>
      <c r="AJ277" s="117"/>
      <c r="AK277" s="20"/>
      <c r="AL277" s="20">
        <f t="shared" si="57"/>
        <v>0</v>
      </c>
      <c r="AM277" s="20">
        <f t="shared" si="58"/>
        <v>0</v>
      </c>
      <c r="AN277" s="20"/>
    </row>
    <row r="278" spans="17:40">
      <c r="Q278" s="99" t="s">
        <v>5031</v>
      </c>
      <c r="R278" s="95">
        <v>6489257</v>
      </c>
      <c r="AH278" s="20"/>
      <c r="AI278" s="20"/>
      <c r="AJ278" s="117"/>
      <c r="AK278" s="20"/>
      <c r="AL278" s="20">
        <f t="shared" si="57"/>
        <v>0</v>
      </c>
      <c r="AM278" s="20">
        <f t="shared" si="58"/>
        <v>0</v>
      </c>
      <c r="AN278" s="20"/>
    </row>
    <row r="279" spans="17:40">
      <c r="Q279" s="99" t="s">
        <v>5087</v>
      </c>
      <c r="R279" s="95">
        <v>618000</v>
      </c>
      <c r="T279" t="s">
        <v>25</v>
      </c>
      <c r="AH279" s="20"/>
      <c r="AI279" s="20"/>
      <c r="AJ279" s="117"/>
      <c r="AK279" s="20"/>
      <c r="AL279" s="20">
        <f t="shared" si="57"/>
        <v>0</v>
      </c>
      <c r="AM279" s="20">
        <f t="shared" si="58"/>
        <v>0</v>
      </c>
      <c r="AN279" s="20"/>
    </row>
    <row r="280" spans="17:40">
      <c r="Q280" s="99" t="s">
        <v>5103</v>
      </c>
      <c r="R280" s="95">
        <v>20105000</v>
      </c>
      <c r="T280" t="s">
        <v>25</v>
      </c>
      <c r="AH280" s="20"/>
      <c r="AI280" s="20"/>
      <c r="AJ280" s="117"/>
      <c r="AK280" s="20"/>
      <c r="AL280" s="20">
        <f t="shared" si="57"/>
        <v>0</v>
      </c>
      <c r="AM280" s="20">
        <f t="shared" si="58"/>
        <v>0</v>
      </c>
      <c r="AN280" s="20"/>
    </row>
    <row r="281" spans="17:40">
      <c r="Q281" s="99" t="s">
        <v>5109</v>
      </c>
      <c r="R281" s="95">
        <v>-21079990</v>
      </c>
      <c r="S281" s="114"/>
      <c r="AH281" s="20"/>
      <c r="AI281" s="20"/>
      <c r="AJ281" s="117"/>
      <c r="AK281" s="20"/>
      <c r="AL281" s="20">
        <f t="shared" si="57"/>
        <v>0</v>
      </c>
      <c r="AM281" s="20">
        <f t="shared" si="58"/>
        <v>0</v>
      </c>
      <c r="AN281" s="20"/>
    </row>
    <row r="282" spans="17:40">
      <c r="Q282" s="99" t="s">
        <v>5112</v>
      </c>
      <c r="R282" s="95">
        <v>-5949277</v>
      </c>
      <c r="AH282" s="20"/>
      <c r="AI282" s="20"/>
      <c r="AJ282" s="117"/>
      <c r="AK282" s="20"/>
      <c r="AL282" s="20">
        <f t="shared" si="57"/>
        <v>0</v>
      </c>
      <c r="AM282" s="20">
        <f t="shared" si="58"/>
        <v>0</v>
      </c>
      <c r="AN282" s="20"/>
    </row>
    <row r="283" spans="17:40">
      <c r="Q283" s="99" t="s">
        <v>5123</v>
      </c>
      <c r="R283" s="95">
        <v>-15370656</v>
      </c>
      <c r="T283" t="s">
        <v>25</v>
      </c>
      <c r="AH283" s="20"/>
      <c r="AI283" s="20"/>
      <c r="AJ283" s="117"/>
      <c r="AK283" s="20"/>
      <c r="AL283" s="20">
        <f t="shared" si="57"/>
        <v>0</v>
      </c>
      <c r="AM283" s="20">
        <f t="shared" si="58"/>
        <v>0</v>
      </c>
      <c r="AN283" s="20"/>
    </row>
    <row r="284" spans="17:40">
      <c r="Q284" s="99" t="s">
        <v>5136</v>
      </c>
      <c r="R284" s="95">
        <v>4960000</v>
      </c>
      <c r="T284" t="s">
        <v>25</v>
      </c>
      <c r="AH284" s="99"/>
      <c r="AI284" s="99"/>
      <c r="AJ284" s="117"/>
      <c r="AK284" s="99"/>
      <c r="AL284" s="20">
        <f t="shared" si="57"/>
        <v>0</v>
      </c>
      <c r="AM284" s="20">
        <f t="shared" si="58"/>
        <v>0</v>
      </c>
      <c r="AN284" s="20"/>
    </row>
    <row r="285" spans="17:40">
      <c r="Q285" s="99" t="s">
        <v>5136</v>
      </c>
      <c r="R285" s="95">
        <v>10000000</v>
      </c>
      <c r="W285" s="96" t="s">
        <v>25</v>
      </c>
      <c r="AH285" s="99"/>
      <c r="AI285" s="99"/>
      <c r="AJ285" s="117"/>
      <c r="AK285" s="99"/>
      <c r="AL285" s="99">
        <f t="shared" si="57"/>
        <v>0</v>
      </c>
      <c r="AM285" s="99">
        <f t="shared" si="58"/>
        <v>0</v>
      </c>
      <c r="AN285" s="99"/>
    </row>
    <row r="286" spans="17:40">
      <c r="Q286" s="99"/>
      <c r="R286" s="95"/>
      <c r="T286" t="s">
        <v>25</v>
      </c>
      <c r="AH286" s="99"/>
      <c r="AI286" s="99"/>
      <c r="AJ286" s="95">
        <f>SUM(AJ197:AJ285)</f>
        <v>423161848</v>
      </c>
      <c r="AK286" s="99"/>
      <c r="AL286" s="99"/>
      <c r="AM286" s="99">
        <f>SUM(AM197:AM285)</f>
        <v>49878929069</v>
      </c>
      <c r="AN286" s="95">
        <f>AM286*AN183/31</f>
        <v>26817164.864291068</v>
      </c>
    </row>
    <row r="287" spans="17:40">
      <c r="Q287" s="99"/>
      <c r="R287" s="95">
        <f>SUM(R240:R286)</f>
        <v>424956256</v>
      </c>
      <c r="T287" t="s">
        <v>25</v>
      </c>
      <c r="AJ287" t="s">
        <v>4059</v>
      </c>
      <c r="AM287" t="s">
        <v>284</v>
      </c>
      <c r="AN287" t="s">
        <v>943</v>
      </c>
    </row>
    <row r="288" spans="17:40">
      <c r="Q288" s="99"/>
      <c r="R288" s="99" t="s">
        <v>6</v>
      </c>
    </row>
    <row r="289" spans="16:40">
      <c r="T289" t="s">
        <v>25</v>
      </c>
      <c r="AI289" t="s">
        <v>4061</v>
      </c>
      <c r="AJ289" s="114">
        <f>AJ286+AN286</f>
        <v>449979012.86429107</v>
      </c>
    </row>
    <row r="290" spans="16:40">
      <c r="T290" t="s">
        <v>25</v>
      </c>
      <c r="AI290" t="s">
        <v>4064</v>
      </c>
      <c r="AJ290" s="114">
        <f>SUM(N20:N28)</f>
        <v>571561022.70000005</v>
      </c>
    </row>
    <row r="291" spans="16:40">
      <c r="T291" t="s">
        <v>25</v>
      </c>
      <c r="AI291" t="s">
        <v>4136</v>
      </c>
      <c r="AJ291" s="114">
        <f>AJ290-AJ286</f>
        <v>148399174.70000005</v>
      </c>
    </row>
    <row r="292" spans="16:40">
      <c r="T292" t="s">
        <v>25</v>
      </c>
      <c r="AI292" t="s">
        <v>943</v>
      </c>
      <c r="AJ292" s="114">
        <f>AN286</f>
        <v>26817164.864291068</v>
      </c>
    </row>
    <row r="293" spans="16:40">
      <c r="P293" t="s">
        <v>25</v>
      </c>
      <c r="AI293" t="s">
        <v>4065</v>
      </c>
      <c r="AJ293" s="114">
        <f>AJ291-AJ292</f>
        <v>121582009.83570898</v>
      </c>
      <c r="AN293" t="s">
        <v>25</v>
      </c>
    </row>
    <row r="294" spans="16:40">
      <c r="AN294" t="s">
        <v>25</v>
      </c>
    </row>
    <row r="296" spans="16:40">
      <c r="R296"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2 S32 G116 S110 S116 S122 S41 S70 S128 S130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H133" zoomScale="90" zoomScaleNormal="90" workbookViewId="0">
      <selection activeCell="M157" sqref="M15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4879</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4698</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4698</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4699</v>
      </c>
      <c r="L22" s="113">
        <v>4398820</v>
      </c>
      <c r="M22" s="168">
        <v>2</v>
      </c>
      <c r="N22" s="113">
        <f t="shared" si="7"/>
        <v>8797640</v>
      </c>
      <c r="O22" s="99" t="s">
        <v>751</v>
      </c>
      <c r="R22" t="s">
        <v>25</v>
      </c>
      <c r="W22" s="213" t="s">
        <v>4689</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4692</v>
      </c>
      <c r="C23" s="99" t="s">
        <v>4693</v>
      </c>
      <c r="D23" s="99" t="s">
        <v>4694</v>
      </c>
      <c r="E23" s="69" t="s">
        <v>4695</v>
      </c>
      <c r="J23" s="213">
        <v>22</v>
      </c>
      <c r="K23" s="213" t="s">
        <v>4699</v>
      </c>
      <c r="L23" s="113">
        <v>4398820</v>
      </c>
      <c r="M23" s="213">
        <v>2</v>
      </c>
      <c r="N23" s="113">
        <f t="shared" si="7"/>
        <v>8797640</v>
      </c>
      <c r="O23" s="99" t="s">
        <v>452</v>
      </c>
      <c r="Q23" t="s">
        <v>25</v>
      </c>
      <c r="R23" t="s">
        <v>25</v>
      </c>
      <c r="W23" s="168" t="s">
        <v>4689</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4699</v>
      </c>
      <c r="L24" s="220">
        <v>4388600</v>
      </c>
      <c r="M24" s="219">
        <v>5</v>
      </c>
      <c r="N24" s="220">
        <f t="shared" si="7"/>
        <v>21943000</v>
      </c>
      <c r="O24" s="221" t="s">
        <v>4710</v>
      </c>
      <c r="W24" s="213" t="s">
        <v>4699</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4700</v>
      </c>
      <c r="L25" s="113">
        <v>4445103</v>
      </c>
      <c r="M25" s="213">
        <v>1.5</v>
      </c>
      <c r="N25" s="113">
        <f t="shared" si="7"/>
        <v>6667654.5</v>
      </c>
      <c r="O25" s="99" t="s">
        <v>751</v>
      </c>
      <c r="W25" s="213" t="s">
        <v>4700</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4700</v>
      </c>
      <c r="L26" s="113">
        <v>4445103</v>
      </c>
      <c r="M26" s="213">
        <v>1.5</v>
      </c>
      <c r="N26" s="113">
        <f t="shared" si="7"/>
        <v>6667654.5</v>
      </c>
      <c r="O26" s="99" t="s">
        <v>452</v>
      </c>
      <c r="R26" t="s">
        <v>25</v>
      </c>
      <c r="W26" s="213" t="s">
        <v>4709</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4709</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4709</v>
      </c>
      <c r="L28" s="113">
        <v>4490623</v>
      </c>
      <c r="M28" s="213">
        <v>2</v>
      </c>
      <c r="N28" s="113">
        <f t="shared" si="7"/>
        <v>8981246</v>
      </c>
      <c r="O28" s="99" t="s">
        <v>452</v>
      </c>
      <c r="W28" s="213" t="s">
        <v>4722</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4689</v>
      </c>
      <c r="B29" s="95">
        <v>4120000</v>
      </c>
      <c r="C29" s="95">
        <v>4230000</v>
      </c>
      <c r="D29" s="95">
        <v>11650</v>
      </c>
      <c r="E29" s="95">
        <v>11750</v>
      </c>
      <c r="J29" s="213">
        <v>28</v>
      </c>
      <c r="K29" s="213" t="s">
        <v>3684</v>
      </c>
      <c r="L29" s="113">
        <v>4590878</v>
      </c>
      <c r="M29" s="213">
        <v>2</v>
      </c>
      <c r="N29" s="113">
        <f t="shared" si="7"/>
        <v>9181756</v>
      </c>
      <c r="O29" s="99" t="s">
        <v>751</v>
      </c>
      <c r="W29" s="213" t="s">
        <v>4722</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4690</v>
      </c>
      <c r="B30" s="95">
        <v>4170000</v>
      </c>
      <c r="C30" s="95">
        <v>4280000</v>
      </c>
      <c r="D30" s="95">
        <v>11750</v>
      </c>
      <c r="E30" s="95">
        <v>11900</v>
      </c>
      <c r="J30" s="213">
        <v>29</v>
      </c>
      <c r="K30" s="213" t="s">
        <v>3684</v>
      </c>
      <c r="L30" s="113">
        <v>4590878</v>
      </c>
      <c r="M30" s="213">
        <v>2</v>
      </c>
      <c r="N30" s="113">
        <f t="shared" si="7"/>
        <v>9181756</v>
      </c>
      <c r="O30" s="99" t="s">
        <v>452</v>
      </c>
      <c r="R30" t="s">
        <v>25</v>
      </c>
      <c r="W30" s="213" t="s">
        <v>4722</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4696</v>
      </c>
      <c r="B31" s="95">
        <v>4130000</v>
      </c>
      <c r="C31" s="95">
        <v>4260000</v>
      </c>
      <c r="D31" s="95">
        <v>11850</v>
      </c>
      <c r="E31" s="95">
        <v>11950</v>
      </c>
      <c r="J31" s="213">
        <v>30</v>
      </c>
      <c r="K31" s="213" t="s">
        <v>4722</v>
      </c>
      <c r="L31" s="113">
        <v>4724483</v>
      </c>
      <c r="M31" s="213">
        <v>2.5</v>
      </c>
      <c r="N31" s="113">
        <f t="shared" si="7"/>
        <v>11811207.5</v>
      </c>
      <c r="O31" s="99" t="s">
        <v>751</v>
      </c>
      <c r="W31" s="213" t="s">
        <v>4722</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4698</v>
      </c>
      <c r="B32" s="95">
        <v>4100000</v>
      </c>
      <c r="C32" s="95">
        <v>4220000</v>
      </c>
      <c r="D32" s="95">
        <v>11800</v>
      </c>
      <c r="E32" s="95">
        <v>11980</v>
      </c>
      <c r="J32" s="213">
        <v>31</v>
      </c>
      <c r="K32" s="213" t="s">
        <v>4722</v>
      </c>
      <c r="L32" s="113">
        <v>4724483</v>
      </c>
      <c r="M32" s="213">
        <v>2.5</v>
      </c>
      <c r="N32" s="113">
        <f t="shared" si="7"/>
        <v>11811207.5</v>
      </c>
      <c r="O32" s="99" t="s">
        <v>452</v>
      </c>
      <c r="W32" s="213" t="s">
        <v>4726</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4727</v>
      </c>
    </row>
    <row r="33" spans="1:32">
      <c r="A33" s="99" t="s">
        <v>4699</v>
      </c>
      <c r="B33" s="95">
        <v>4220000</v>
      </c>
      <c r="C33" s="95">
        <v>4320000</v>
      </c>
      <c r="D33" s="95">
        <v>11900</v>
      </c>
      <c r="E33" s="95">
        <v>12050</v>
      </c>
      <c r="J33" s="213">
        <v>32</v>
      </c>
      <c r="K33" s="213" t="s">
        <v>4738</v>
      </c>
      <c r="L33" s="113">
        <v>4852712</v>
      </c>
      <c r="M33" s="213">
        <v>8.5</v>
      </c>
      <c r="N33" s="113">
        <f t="shared" si="7"/>
        <v>41248052</v>
      </c>
      <c r="O33" s="99" t="s">
        <v>751</v>
      </c>
      <c r="W33" s="213" t="s">
        <v>4726</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4700</v>
      </c>
      <c r="B34" s="95">
        <v>4240000</v>
      </c>
      <c r="C34" s="95">
        <v>4340000</v>
      </c>
      <c r="D34" s="95">
        <v>12100</v>
      </c>
      <c r="E34" s="95">
        <v>12250</v>
      </c>
      <c r="I34" t="s">
        <v>25</v>
      </c>
      <c r="J34" s="213">
        <v>33</v>
      </c>
      <c r="K34" s="213" t="s">
        <v>4738</v>
      </c>
      <c r="L34" s="113">
        <v>4852712</v>
      </c>
      <c r="M34" s="213">
        <v>8.5</v>
      </c>
      <c r="N34" s="113">
        <f t="shared" si="7"/>
        <v>41248052</v>
      </c>
      <c r="O34" s="99" t="s">
        <v>452</v>
      </c>
      <c r="W34" s="213" t="s">
        <v>4726</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4709</v>
      </c>
      <c r="B35" s="95">
        <v>4230000</v>
      </c>
      <c r="C35" s="95">
        <v>4370000</v>
      </c>
      <c r="D35" s="95">
        <v>12100</v>
      </c>
      <c r="E35" s="95">
        <v>12250</v>
      </c>
      <c r="J35" s="213">
        <v>34</v>
      </c>
      <c r="K35" s="213" t="s">
        <v>4740</v>
      </c>
      <c r="L35" s="113">
        <v>4977171</v>
      </c>
      <c r="M35" s="213">
        <v>7.5</v>
      </c>
      <c r="N35" s="113">
        <f t="shared" si="7"/>
        <v>37328782.5</v>
      </c>
      <c r="O35" s="99" t="s">
        <v>751</v>
      </c>
      <c r="W35" s="213" t="s">
        <v>4740</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4740</v>
      </c>
      <c r="L36" s="113">
        <v>4977171</v>
      </c>
      <c r="M36" s="213">
        <v>7.5</v>
      </c>
      <c r="N36" s="113">
        <f t="shared" si="7"/>
        <v>37328782.5</v>
      </c>
      <c r="O36" s="99" t="s">
        <v>452</v>
      </c>
      <c r="R36" s="96"/>
      <c r="W36" s="213" t="s">
        <v>4740</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4722</v>
      </c>
      <c r="B37" s="95">
        <v>4370000</v>
      </c>
      <c r="C37" s="95">
        <v>4480000</v>
      </c>
      <c r="D37" s="95">
        <v>12600</v>
      </c>
      <c r="E37" s="95">
        <v>12700</v>
      </c>
      <c r="J37" s="213">
        <v>36</v>
      </c>
      <c r="K37" s="213" t="s">
        <v>4879</v>
      </c>
      <c r="L37" s="113">
        <v>5048479</v>
      </c>
      <c r="M37" s="213">
        <v>4</v>
      </c>
      <c r="N37" s="113">
        <f t="shared" si="7"/>
        <v>20193916</v>
      </c>
      <c r="O37" s="99" t="s">
        <v>751</v>
      </c>
      <c r="W37" s="213" t="s">
        <v>4740</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4726</v>
      </c>
      <c r="B38" s="95">
        <v>4470000</v>
      </c>
      <c r="C38" s="95">
        <v>4580000</v>
      </c>
      <c r="D38" s="95">
        <v>13050</v>
      </c>
      <c r="E38" s="95">
        <v>13200</v>
      </c>
      <c r="J38" s="213">
        <v>37</v>
      </c>
      <c r="K38" s="213" t="s">
        <v>4879</v>
      </c>
      <c r="L38" s="113">
        <v>5048479</v>
      </c>
      <c r="M38" s="213">
        <v>9</v>
      </c>
      <c r="N38" s="113">
        <f t="shared" si="7"/>
        <v>45436311</v>
      </c>
      <c r="O38" s="99" t="s">
        <v>452</v>
      </c>
      <c r="W38" s="213" t="s">
        <v>4748</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4732</v>
      </c>
      <c r="B39" s="95">
        <v>4600000</v>
      </c>
      <c r="C39" s="95">
        <v>4720000</v>
      </c>
      <c r="D39" s="95"/>
      <c r="E39" s="95"/>
      <c r="J39" s="213"/>
      <c r="K39" s="213"/>
      <c r="L39" s="113"/>
      <c r="M39" s="213"/>
      <c r="N39" s="113"/>
      <c r="O39" s="99"/>
      <c r="W39" s="213" t="s">
        <v>4748</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4738</v>
      </c>
      <c r="B40" s="95">
        <v>4530000</v>
      </c>
      <c r="C40" s="95">
        <v>4680000</v>
      </c>
      <c r="D40" s="95">
        <v>13000</v>
      </c>
      <c r="E40" s="95">
        <v>13150</v>
      </c>
      <c r="J40" s="168"/>
      <c r="K40" s="168"/>
      <c r="L40" s="113" t="s">
        <v>25</v>
      </c>
      <c r="M40" s="168"/>
      <c r="N40" s="113"/>
      <c r="O40" s="99"/>
      <c r="W40" s="213" t="s">
        <v>4748</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4740</v>
      </c>
      <c r="B41" s="95">
        <v>4750000</v>
      </c>
      <c r="C41" s="95">
        <v>4900000</v>
      </c>
      <c r="D41" s="95">
        <v>13750</v>
      </c>
      <c r="E41" s="95">
        <v>13900</v>
      </c>
      <c r="J41" s="168"/>
      <c r="K41" s="168"/>
      <c r="L41" s="168"/>
      <c r="M41" s="168">
        <f>SUM(M2:M40)</f>
        <v>140</v>
      </c>
      <c r="N41" s="113">
        <f>SUM(N2:N40)</f>
        <v>618472600</v>
      </c>
      <c r="O41" s="169">
        <f>N41/(M41-3)</f>
        <v>4514398.5401459858</v>
      </c>
      <c r="W41" s="230" t="s">
        <v>4763</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4748</v>
      </c>
      <c r="B42" s="95">
        <v>4700000</v>
      </c>
      <c r="C42" s="95">
        <v>4850000</v>
      </c>
      <c r="D42" s="95">
        <v>13650</v>
      </c>
      <c r="E42" s="95">
        <v>13800</v>
      </c>
      <c r="J42" s="168"/>
      <c r="K42" s="168"/>
      <c r="L42" s="168"/>
      <c r="M42" s="168" t="s">
        <v>6</v>
      </c>
      <c r="N42" s="168"/>
      <c r="O42" s="99"/>
      <c r="P42">
        <f>O44/2</f>
        <v>37328780.5</v>
      </c>
      <c r="Q42">
        <f>O44/15</f>
        <v>4977170.7333333334</v>
      </c>
      <c r="W42" s="213" t="s">
        <v>4776</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4755</v>
      </c>
      <c r="B43" s="95">
        <v>4550000</v>
      </c>
      <c r="C43" s="95">
        <v>4750000</v>
      </c>
      <c r="D43" s="95">
        <v>13400</v>
      </c>
      <c r="E43" s="95">
        <v>13500</v>
      </c>
      <c r="M43" s="113">
        <f>N41/(M41-3)</f>
        <v>4514398.5401459858</v>
      </c>
      <c r="S43" t="s">
        <v>25</v>
      </c>
      <c r="W43" s="231" t="s">
        <v>4781</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4763</v>
      </c>
      <c r="B44" s="95">
        <v>4580000</v>
      </c>
      <c r="C44" s="95">
        <v>4750000</v>
      </c>
      <c r="D44" s="95">
        <v>13350</v>
      </c>
      <c r="E44" s="95">
        <v>13500</v>
      </c>
      <c r="I44" s="41"/>
      <c r="M44" s="41" t="s">
        <v>4519</v>
      </c>
      <c r="N44" t="s">
        <v>25</v>
      </c>
      <c r="O44" s="223">
        <v>74657561</v>
      </c>
      <c r="R44" t="s">
        <v>25</v>
      </c>
      <c r="W44" s="213" t="s">
        <v>4791</v>
      </c>
      <c r="X44" s="213" t="s">
        <v>4295</v>
      </c>
      <c r="Y44" s="113">
        <v>299.10000000000002</v>
      </c>
      <c r="Z44" s="213">
        <v>5658</v>
      </c>
      <c r="AA44" s="213" t="s">
        <v>4242</v>
      </c>
      <c r="AB44" s="213">
        <v>182.5</v>
      </c>
      <c r="AC44" s="213">
        <v>9173</v>
      </c>
      <c r="AD44" s="213">
        <f>Y44/AB44</f>
        <v>1.6389041095890413</v>
      </c>
      <c r="AE44" s="213">
        <f t="shared" si="2"/>
        <v>0.61016382480775655</v>
      </c>
      <c r="AF44" s="99" t="s">
        <v>4793</v>
      </c>
    </row>
    <row r="45" spans="1:32">
      <c r="A45" s="99" t="s">
        <v>4771</v>
      </c>
      <c r="B45" s="95">
        <v>4500000</v>
      </c>
      <c r="C45" s="95">
        <v>4650000</v>
      </c>
      <c r="D45" s="95">
        <v>13250</v>
      </c>
      <c r="E45" s="95">
        <v>13450</v>
      </c>
      <c r="W45" s="213" t="s">
        <v>4791</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4776</v>
      </c>
      <c r="B46" s="95">
        <v>4620000</v>
      </c>
      <c r="C46" s="95">
        <v>4770000</v>
      </c>
      <c r="D46" s="95">
        <v>13600</v>
      </c>
      <c r="E46" s="95">
        <v>13700</v>
      </c>
      <c r="W46" s="213" t="s">
        <v>4817</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4780</v>
      </c>
      <c r="B47" s="95">
        <v>4400000</v>
      </c>
      <c r="C47" s="95">
        <v>4600000</v>
      </c>
      <c r="D47" s="95">
        <v>13200</v>
      </c>
      <c r="E47" s="95">
        <v>13400</v>
      </c>
      <c r="L47">
        <f>140-M41</f>
        <v>0</v>
      </c>
      <c r="M47">
        <f>70-M2-M4-M5-M7-M9-M10-M12-M14-M16-M18-M20-M22-M25-M27-M29-M31-M33-M35-M37</f>
        <v>0</v>
      </c>
      <c r="N47" t="s">
        <v>483</v>
      </c>
      <c r="W47" s="213" t="s">
        <v>4975</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4781</v>
      </c>
      <c r="B48" s="95">
        <v>4250000</v>
      </c>
      <c r="C48" s="95">
        <v>4450000</v>
      </c>
      <c r="D48" s="95">
        <v>12750</v>
      </c>
      <c r="E48" s="95">
        <v>12900</v>
      </c>
      <c r="M48">
        <f>65-M3-M6-M8-M11-M13-M15-M17-M19-M21-M23-M26-M28-M30-M32-M34-M36-M38</f>
        <v>0</v>
      </c>
      <c r="N48" t="s">
        <v>5</v>
      </c>
      <c r="W48" s="213" t="s">
        <v>4975</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4791</v>
      </c>
      <c r="B49" s="95">
        <v>4380000</v>
      </c>
      <c r="C49" s="95">
        <v>4520000</v>
      </c>
      <c r="D49" s="95">
        <v>12750</v>
      </c>
      <c r="E49" s="95">
        <v>12900</v>
      </c>
      <c r="K49">
        <v>16</v>
      </c>
      <c r="L49" s="223">
        <v>807756734</v>
      </c>
      <c r="M49">
        <f>L49/16</f>
        <v>50484795.875</v>
      </c>
      <c r="N49">
        <f>M49*4</f>
        <v>201939183.5</v>
      </c>
      <c r="W49" s="213" t="s">
        <v>4975</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4795</v>
      </c>
      <c r="B50" s="95">
        <v>4500000</v>
      </c>
      <c r="C50" s="95">
        <v>4630000</v>
      </c>
      <c r="D50" s="95">
        <v>13200</v>
      </c>
      <c r="E50" s="95">
        <v>13400</v>
      </c>
      <c r="N50">
        <f>M49*9</f>
        <v>454363162.875</v>
      </c>
      <c r="W50" s="213" t="s">
        <v>4975</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4975</v>
      </c>
      <c r="X51" s="213" t="s">
        <v>4532</v>
      </c>
      <c r="Y51" s="113">
        <v>4949</v>
      </c>
      <c r="Z51" s="213">
        <v>1000</v>
      </c>
      <c r="AA51" s="213" t="s">
        <v>4242</v>
      </c>
      <c r="AB51" s="213">
        <v>192</v>
      </c>
      <c r="AC51" s="213" t="s">
        <v>4979</v>
      </c>
      <c r="AD51" s="213">
        <f t="shared" si="12"/>
        <v>25.776041666666668</v>
      </c>
      <c r="AE51" s="213">
        <f t="shared" si="13"/>
        <v>3.8795716306324508E-2</v>
      </c>
      <c r="AF51" s="99"/>
    </row>
    <row r="52" spans="1:32">
      <c r="A52" s="99" t="s">
        <v>4817</v>
      </c>
      <c r="B52" s="95">
        <v>4480000</v>
      </c>
      <c r="C52" s="95">
        <v>4600000</v>
      </c>
      <c r="D52" s="95">
        <v>13050</v>
      </c>
      <c r="E52" s="95">
        <v>13200</v>
      </c>
      <c r="K52" s="168" t="s">
        <v>4528</v>
      </c>
      <c r="L52" s="168" t="s">
        <v>1086</v>
      </c>
      <c r="M52" s="168" t="s">
        <v>4242</v>
      </c>
      <c r="N52" s="168" t="s">
        <v>4545</v>
      </c>
      <c r="O52" s="168"/>
      <c r="W52" s="213" t="s">
        <v>4982</v>
      </c>
      <c r="X52" s="213" t="s">
        <v>4532</v>
      </c>
      <c r="Y52" s="113">
        <v>4957.7</v>
      </c>
      <c r="Z52" s="213" t="s">
        <v>4979</v>
      </c>
      <c r="AA52" s="213" t="s">
        <v>4389</v>
      </c>
      <c r="AB52" s="213">
        <v>3589.3</v>
      </c>
      <c r="AC52" s="213" t="s">
        <v>4979</v>
      </c>
      <c r="AD52" s="213">
        <f t="shared" si="12"/>
        <v>1.3812442537542138</v>
      </c>
      <c r="AE52" s="213">
        <f t="shared" si="13"/>
        <v>0.72398491235855345</v>
      </c>
      <c r="AF52" s="99"/>
    </row>
    <row r="53" spans="1:32">
      <c r="A53" s="99" t="s">
        <v>4819</v>
      </c>
      <c r="B53" s="95">
        <v>4400000</v>
      </c>
      <c r="C53" s="95">
        <v>4550000</v>
      </c>
      <c r="D53" s="95">
        <v>12850</v>
      </c>
      <c r="E53" s="95">
        <v>13000</v>
      </c>
      <c r="K53" s="168" t="s">
        <v>4518</v>
      </c>
      <c r="L53" s="168">
        <v>3390000</v>
      </c>
      <c r="M53" s="168">
        <v>161.4</v>
      </c>
      <c r="N53" s="168">
        <f>L53/M53</f>
        <v>21003.717472118959</v>
      </c>
      <c r="O53" s="168"/>
      <c r="W53" s="213" t="s">
        <v>4982</v>
      </c>
      <c r="X53" s="213" t="s">
        <v>4532</v>
      </c>
      <c r="Y53" s="113">
        <v>4958</v>
      </c>
      <c r="Z53" s="213" t="s">
        <v>4979</v>
      </c>
      <c r="AA53" s="213" t="s">
        <v>4393</v>
      </c>
      <c r="AB53" s="213">
        <v>4730.8999999999996</v>
      </c>
      <c r="AC53" s="213" t="s">
        <v>4979</v>
      </c>
      <c r="AD53" s="213">
        <f t="shared" si="12"/>
        <v>1.0480035511213512</v>
      </c>
      <c r="AE53" s="213">
        <f t="shared" si="13"/>
        <v>0.95419524001613543</v>
      </c>
      <c r="AF53" s="99"/>
    </row>
    <row r="54" spans="1:32">
      <c r="A54" s="99" t="s">
        <v>4821</v>
      </c>
      <c r="B54" s="95">
        <v>4400000</v>
      </c>
      <c r="C54" s="95">
        <v>4520000</v>
      </c>
      <c r="D54" s="95">
        <v>12800</v>
      </c>
      <c r="E54" s="95">
        <v>12950</v>
      </c>
      <c r="K54" s="168"/>
      <c r="L54" s="168"/>
      <c r="M54" s="168"/>
      <c r="N54" s="168"/>
      <c r="O54" s="168"/>
      <c r="W54" s="213" t="s">
        <v>4982</v>
      </c>
      <c r="X54" s="213" t="s">
        <v>4532</v>
      </c>
      <c r="Y54" s="113">
        <v>4958</v>
      </c>
      <c r="Z54" s="213" t="s">
        <v>4979</v>
      </c>
      <c r="AA54" s="213" t="s">
        <v>4407</v>
      </c>
      <c r="AB54" s="213">
        <v>671.9</v>
      </c>
      <c r="AC54" s="213" t="s">
        <v>4979</v>
      </c>
      <c r="AD54" s="213">
        <f t="shared" si="12"/>
        <v>7.379074267004019</v>
      </c>
      <c r="AE54" s="213">
        <f t="shared" si="13"/>
        <v>0.13551835417507058</v>
      </c>
      <c r="AF54" s="99"/>
    </row>
    <row r="55" spans="1:32">
      <c r="A55" s="99" t="s">
        <v>4828</v>
      </c>
      <c r="B55" s="95">
        <v>4460000</v>
      </c>
      <c r="C55" s="95">
        <v>4580000</v>
      </c>
      <c r="D55" s="95">
        <v>12850</v>
      </c>
      <c r="E55" s="95">
        <v>13000</v>
      </c>
      <c r="K55" s="168"/>
      <c r="L55" s="168"/>
      <c r="M55" s="168"/>
      <c r="N55" s="168"/>
      <c r="O55" s="168"/>
      <c r="W55" s="213" t="s">
        <v>4982</v>
      </c>
      <c r="X55" s="213" t="s">
        <v>4532</v>
      </c>
      <c r="Y55" s="113">
        <v>4958</v>
      </c>
      <c r="Z55" s="213" t="s">
        <v>4979</v>
      </c>
      <c r="AA55" s="213" t="s">
        <v>4242</v>
      </c>
      <c r="AB55" s="213">
        <v>194.4</v>
      </c>
      <c r="AC55" s="213" t="s">
        <v>4979</v>
      </c>
      <c r="AD55" s="213">
        <f t="shared" si="12"/>
        <v>25.504115226337447</v>
      </c>
      <c r="AE55" s="213">
        <f t="shared" si="13"/>
        <v>3.9209358612343689E-2</v>
      </c>
      <c r="AF55" s="99"/>
    </row>
    <row r="56" spans="1:32">
      <c r="A56" s="99" t="s">
        <v>4835</v>
      </c>
      <c r="B56" s="95">
        <v>4500000</v>
      </c>
      <c r="C56" s="95">
        <v>4620000</v>
      </c>
      <c r="D56" s="95">
        <v>13000</v>
      </c>
      <c r="E56" s="95">
        <v>13200</v>
      </c>
      <c r="K56" s="168"/>
      <c r="L56" s="168"/>
      <c r="M56" s="168"/>
      <c r="N56" s="168"/>
      <c r="O56" s="168"/>
      <c r="W56" s="213" t="s">
        <v>5071</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4840</v>
      </c>
      <c r="B57" s="95">
        <v>4450000</v>
      </c>
      <c r="C57" s="95">
        <v>4600000</v>
      </c>
      <c r="D57" s="95">
        <v>12850</v>
      </c>
      <c r="E57" s="95">
        <v>13050</v>
      </c>
      <c r="K57" s="168"/>
      <c r="L57" s="168"/>
      <c r="M57" s="168"/>
      <c r="N57" s="168"/>
      <c r="O57" s="168"/>
      <c r="W57" s="213" t="s">
        <v>5075</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4849</v>
      </c>
      <c r="B58" s="95">
        <v>4500000</v>
      </c>
      <c r="C58" s="95">
        <v>4650000</v>
      </c>
      <c r="D58" s="95">
        <v>12900</v>
      </c>
      <c r="E58" s="95">
        <v>13100</v>
      </c>
      <c r="K58" s="168"/>
      <c r="L58" s="168"/>
      <c r="M58" s="168"/>
      <c r="N58" s="168"/>
      <c r="O58" s="168"/>
      <c r="W58" s="213" t="s">
        <v>5083</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4879</v>
      </c>
      <c r="B59" s="95">
        <v>4700000</v>
      </c>
      <c r="C59" s="95">
        <v>4800000</v>
      </c>
      <c r="D59" s="95">
        <v>13300</v>
      </c>
      <c r="E59" s="95">
        <v>13450</v>
      </c>
      <c r="K59" s="168"/>
      <c r="L59" s="168"/>
      <c r="M59" s="168"/>
      <c r="N59" s="168"/>
      <c r="O59" s="168"/>
      <c r="W59" s="213" t="s">
        <v>5123</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4880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5009</v>
      </c>
      <c r="B63" s="95">
        <v>4700000</v>
      </c>
      <c r="C63" s="95">
        <v>4830000</v>
      </c>
      <c r="D63" s="95">
        <v>13850</v>
      </c>
      <c r="E63" s="95">
        <v>14050</v>
      </c>
      <c r="I63" s="213" t="s">
        <v>8</v>
      </c>
      <c r="J63" s="213" t="s">
        <v>4751</v>
      </c>
      <c r="K63" s="213" t="s">
        <v>180</v>
      </c>
      <c r="L63" s="226" t="s">
        <v>4749</v>
      </c>
      <c r="M63" s="226" t="s">
        <v>4750</v>
      </c>
      <c r="N63" s="213" t="s">
        <v>6</v>
      </c>
      <c r="O63" s="213" t="s">
        <v>4752</v>
      </c>
      <c r="P63" s="213" t="s">
        <v>4765</v>
      </c>
      <c r="W63" s="168"/>
      <c r="X63" s="168"/>
      <c r="Y63" s="113"/>
      <c r="Z63" s="168"/>
      <c r="AA63" s="168"/>
      <c r="AB63" s="113"/>
      <c r="AC63" s="168"/>
      <c r="AD63" s="19"/>
      <c r="AE63" s="168"/>
      <c r="AF63" s="99"/>
    </row>
    <row r="64" spans="1:32">
      <c r="A64" s="99" t="s">
        <v>5068</v>
      </c>
      <c r="B64" s="95">
        <v>4600000</v>
      </c>
      <c r="C64" s="95">
        <v>4700000</v>
      </c>
      <c r="D64" s="95">
        <v>13300</v>
      </c>
      <c r="E64" s="95">
        <v>13500</v>
      </c>
      <c r="G64" t="s">
        <v>25</v>
      </c>
      <c r="I64" s="213"/>
      <c r="J64" s="213"/>
      <c r="K64" s="213" t="s">
        <v>4699</v>
      </c>
      <c r="L64" s="84">
        <v>535989412</v>
      </c>
      <c r="M64" s="84"/>
      <c r="N64" s="213"/>
      <c r="O64" s="213"/>
      <c r="P64" s="213"/>
      <c r="Q64" s="84">
        <v>0</v>
      </c>
      <c r="Z64" t="s">
        <v>25</v>
      </c>
      <c r="AC64" t="s">
        <v>25</v>
      </c>
    </row>
    <row r="65" spans="1:32">
      <c r="A65" s="99" t="s">
        <v>5132</v>
      </c>
      <c r="B65" s="95">
        <v>4520000</v>
      </c>
      <c r="C65" s="95">
        <v>4620000</v>
      </c>
      <c r="D65" s="95">
        <v>12950</v>
      </c>
      <c r="E65" s="95">
        <v>13150</v>
      </c>
      <c r="I65" s="213"/>
      <c r="J65" s="113">
        <f>L65-L64</f>
        <v>12939932</v>
      </c>
      <c r="K65" s="213" t="s">
        <v>4726</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4732</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4738</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4740</v>
      </c>
      <c r="L68" s="84">
        <v>588873580</v>
      </c>
      <c r="M68" s="84">
        <v>250255923</v>
      </c>
      <c r="N68" s="113">
        <f>L68+M68</f>
        <v>839129503</v>
      </c>
      <c r="O68" s="113">
        <f>M68-M67</f>
        <v>250255923</v>
      </c>
      <c r="P68" s="113">
        <f>N68-N67</f>
        <v>839129503</v>
      </c>
      <c r="Q68" s="84">
        <v>0</v>
      </c>
      <c r="X68" t="s">
        <v>180</v>
      </c>
      <c r="Y68" t="s">
        <v>937</v>
      </c>
      <c r="Z68" t="s">
        <v>4393</v>
      </c>
      <c r="AA68" t="s">
        <v>4242</v>
      </c>
      <c r="AB68" t="s">
        <v>4545</v>
      </c>
      <c r="AC68" s="96" t="s">
        <v>5079</v>
      </c>
      <c r="AD68" s="96" t="s">
        <v>5084</v>
      </c>
    </row>
    <row r="69" spans="1:32">
      <c r="A69" s="99"/>
      <c r="B69" s="95"/>
      <c r="C69" s="95"/>
      <c r="D69" s="95"/>
      <c r="E69" s="95"/>
      <c r="I69" s="213"/>
      <c r="J69" s="113">
        <f t="shared" si="14"/>
        <v>-8942851</v>
      </c>
      <c r="K69" s="213" t="s">
        <v>4748</v>
      </c>
      <c r="L69" s="229">
        <v>579930729</v>
      </c>
      <c r="M69" s="84">
        <v>247714729</v>
      </c>
      <c r="N69" s="113">
        <f t="shared" ref="N69:N91" si="15">L69+M69</f>
        <v>827645458</v>
      </c>
      <c r="O69" s="113">
        <f t="shared" ref="O69:O88" si="16">M69-M68</f>
        <v>-2541194</v>
      </c>
      <c r="P69" s="113">
        <f t="shared" ref="P69:P88" si="17">N69-N68</f>
        <v>-11484045</v>
      </c>
      <c r="Q69" s="84">
        <v>0</v>
      </c>
      <c r="X69" t="s">
        <v>5071</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4762</v>
      </c>
      <c r="J70" s="35">
        <f t="shared" si="14"/>
        <v>45893629</v>
      </c>
      <c r="K70" s="5" t="s">
        <v>4755</v>
      </c>
      <c r="L70" s="236">
        <v>625824358</v>
      </c>
      <c r="M70" s="236">
        <v>243028777</v>
      </c>
      <c r="N70" s="35">
        <f t="shared" si="15"/>
        <v>868853135</v>
      </c>
      <c r="O70" s="35">
        <f t="shared" si="16"/>
        <v>-4685952</v>
      </c>
      <c r="P70" s="35">
        <f>N70-N69-50000000</f>
        <v>-8792323</v>
      </c>
      <c r="Q70" s="84">
        <v>50000000</v>
      </c>
      <c r="W70" s="96"/>
      <c r="X70" t="s">
        <v>5075</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4763</v>
      </c>
      <c r="L71" s="84">
        <v>629286372</v>
      </c>
      <c r="M71" s="84">
        <v>246690884</v>
      </c>
      <c r="N71" s="113">
        <f t="shared" si="15"/>
        <v>875977256</v>
      </c>
      <c r="O71" s="113">
        <f t="shared" si="16"/>
        <v>3662107</v>
      </c>
      <c r="P71" s="113">
        <f t="shared" si="17"/>
        <v>7124121</v>
      </c>
      <c r="Q71" s="84">
        <v>0</v>
      </c>
      <c r="W71" s="96"/>
      <c r="X71" t="s">
        <v>5083</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4776</v>
      </c>
      <c r="L72" s="84">
        <v>626599076</v>
      </c>
      <c r="M72" s="84">
        <v>244530128</v>
      </c>
      <c r="N72" s="113">
        <f t="shared" si="15"/>
        <v>871129204</v>
      </c>
      <c r="O72" s="113">
        <f t="shared" si="16"/>
        <v>-2160756</v>
      </c>
      <c r="P72" s="113">
        <f t="shared" si="17"/>
        <v>-4848052</v>
      </c>
      <c r="Q72" s="84">
        <v>0</v>
      </c>
      <c r="X72" t="s">
        <v>5087</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4780</v>
      </c>
      <c r="L73" s="84">
        <v>620589610</v>
      </c>
      <c r="M73" s="84">
        <v>242967684</v>
      </c>
      <c r="N73" s="113">
        <f t="shared" si="15"/>
        <v>863557294</v>
      </c>
      <c r="O73" s="113">
        <f t="shared" si="16"/>
        <v>-1562444</v>
      </c>
      <c r="P73" s="113">
        <f t="shared" si="17"/>
        <v>-7571910</v>
      </c>
      <c r="Q73" s="84">
        <v>0</v>
      </c>
      <c r="X73" s="96"/>
      <c r="Y73" s="96"/>
      <c r="Z73" s="96">
        <v>5757</v>
      </c>
      <c r="AA73" s="96">
        <v>230</v>
      </c>
      <c r="AB73" s="96">
        <f>Z73/AA73</f>
        <v>25.030434782608694</v>
      </c>
      <c r="AC73" s="96">
        <f>AB73/$X$66</f>
        <v>1.0308719222733622</v>
      </c>
      <c r="AD73" s="96">
        <f>AB73/1.03</f>
        <v>24.301392992823974</v>
      </c>
    </row>
    <row r="74" spans="1:32">
      <c r="A74" s="99"/>
      <c r="B74" s="95"/>
      <c r="C74" s="95"/>
      <c r="D74" s="95"/>
      <c r="E74" s="95"/>
      <c r="I74" s="213"/>
      <c r="J74" s="113">
        <f t="shared" si="14"/>
        <v>-1273071</v>
      </c>
      <c r="K74" s="213" t="s">
        <v>4781</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4791</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4795</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4817</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4819</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4839</v>
      </c>
      <c r="J80" s="35">
        <f t="shared" si="14"/>
        <v>-1984018</v>
      </c>
      <c r="K80" s="5" t="s">
        <v>4821</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4828</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4838</v>
      </c>
      <c r="J82" s="86">
        <f t="shared" si="14"/>
        <v>8860702</v>
      </c>
      <c r="K82" s="191" t="s">
        <v>4835</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4847</v>
      </c>
      <c r="J83" s="86">
        <f>L83-L82+31412200</f>
        <v>20439704</v>
      </c>
      <c r="K83" s="191" t="s">
        <v>4840</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4848</v>
      </c>
      <c r="J84" s="188">
        <f t="shared" si="14"/>
        <v>21224293</v>
      </c>
      <c r="K84" s="189" t="s">
        <v>4849</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4857</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4868</v>
      </c>
      <c r="J87" s="196">
        <f>L87-L86-20000</f>
        <v>7878257</v>
      </c>
      <c r="K87" s="190" t="s">
        <v>4858</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4870</v>
      </c>
      <c r="L88" s="84">
        <v>692810230</v>
      </c>
      <c r="M88" s="84">
        <v>311823171</v>
      </c>
      <c r="N88" s="113">
        <f t="shared" si="15"/>
        <v>1004633401</v>
      </c>
      <c r="O88" s="113">
        <f t="shared" si="16"/>
        <v>9435121</v>
      </c>
      <c r="P88" s="113">
        <f t="shared" si="17"/>
        <v>26467117</v>
      </c>
      <c r="Q88" s="84">
        <v>0</v>
      </c>
    </row>
    <row r="89" spans="6:30">
      <c r="I89" s="213"/>
      <c r="J89" s="113">
        <f>L89-L88</f>
        <v>-12175091</v>
      </c>
      <c r="K89" s="213" t="s">
        <v>4871</v>
      </c>
      <c r="L89" s="84">
        <v>680635139</v>
      </c>
      <c r="M89" s="84">
        <v>313005875</v>
      </c>
      <c r="N89" s="113">
        <f t="shared" si="15"/>
        <v>993641014</v>
      </c>
      <c r="O89" s="113">
        <f>M89-M88</f>
        <v>1182704</v>
      </c>
      <c r="P89" s="113">
        <f>N89-N88</f>
        <v>-10992387</v>
      </c>
      <c r="Q89" s="84">
        <v>0</v>
      </c>
    </row>
    <row r="90" spans="6:30">
      <c r="I90" s="190" t="s">
        <v>4899</v>
      </c>
      <c r="J90" s="196">
        <f>L90-L89-1000000</f>
        <v>3840350</v>
      </c>
      <c r="K90" s="190" t="s">
        <v>4879</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4880</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4889</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4891</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4892</v>
      </c>
      <c r="L94" s="84">
        <v>698450869</v>
      </c>
      <c r="M94" s="84">
        <v>316326929</v>
      </c>
      <c r="N94" s="113">
        <f t="shared" si="23"/>
        <v>1014777798</v>
      </c>
      <c r="O94" s="113">
        <f t="shared" si="24"/>
        <v>3826929</v>
      </c>
      <c r="P94" s="113">
        <f t="shared" si="25"/>
        <v>14277798</v>
      </c>
      <c r="Q94" s="84">
        <v>0</v>
      </c>
    </row>
    <row r="95" spans="6:30">
      <c r="I95" s="190" t="s">
        <v>4898</v>
      </c>
      <c r="J95" s="196">
        <f>L95-L94-2520000</f>
        <v>-274657</v>
      </c>
      <c r="K95" s="190" t="s">
        <v>4895</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4900</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4903</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4905</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4906</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4908</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4909</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4912</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4911</v>
      </c>
      <c r="L103" s="84">
        <v>716288384</v>
      </c>
      <c r="M103" s="84">
        <v>320388494</v>
      </c>
      <c r="N103" s="113">
        <f t="shared" si="26"/>
        <v>1036676878</v>
      </c>
      <c r="O103" s="113">
        <f t="shared" si="27"/>
        <v>1388494</v>
      </c>
      <c r="P103" s="113">
        <f t="shared" si="28"/>
        <v>1676878</v>
      </c>
      <c r="Q103" s="84">
        <v>0</v>
      </c>
    </row>
    <row r="104" spans="9:20">
      <c r="I104" s="190" t="s">
        <v>4958</v>
      </c>
      <c r="J104" s="196">
        <f>L104-L103-1400000</f>
        <v>-1688384</v>
      </c>
      <c r="K104" s="190" t="s">
        <v>4955</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4957</v>
      </c>
      <c r="L105" s="84">
        <v>724529471</v>
      </c>
      <c r="M105" s="84">
        <v>326836192</v>
      </c>
      <c r="N105" s="113">
        <f t="shared" si="26"/>
        <v>1051365663</v>
      </c>
      <c r="O105" s="113">
        <f t="shared" si="27"/>
        <v>4836192</v>
      </c>
      <c r="P105" s="113">
        <f t="shared" si="28"/>
        <v>13365663</v>
      </c>
      <c r="Q105" s="84">
        <v>0</v>
      </c>
    </row>
    <row r="106" spans="9:20">
      <c r="I106" s="189" t="s">
        <v>4960</v>
      </c>
      <c r="J106" s="188">
        <f>L106-L105-1550000</f>
        <v>16319322</v>
      </c>
      <c r="K106" s="189" t="s">
        <v>4959</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4961</v>
      </c>
      <c r="L107" s="84">
        <v>749984625</v>
      </c>
      <c r="M107" s="84">
        <v>336802679</v>
      </c>
      <c r="N107" s="113">
        <f t="shared" si="26"/>
        <v>1086787304</v>
      </c>
      <c r="O107" s="113">
        <f t="shared" si="27"/>
        <v>3414475</v>
      </c>
      <c r="P107" s="113">
        <f t="shared" si="28"/>
        <v>11000307</v>
      </c>
      <c r="Q107" s="84">
        <v>0</v>
      </c>
    </row>
    <row r="108" spans="9:20">
      <c r="I108" s="189" t="s">
        <v>4964</v>
      </c>
      <c r="J108" s="188">
        <f>L108-L107-250000</f>
        <v>9825827</v>
      </c>
      <c r="K108" s="189" t="s">
        <v>4904</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4965</v>
      </c>
      <c r="L109" s="84">
        <v>764265377</v>
      </c>
      <c r="M109" s="84">
        <v>346850621</v>
      </c>
      <c r="N109" s="117">
        <f t="shared" si="26"/>
        <v>1111115998</v>
      </c>
      <c r="O109" s="113">
        <f t="shared" si="27"/>
        <v>4016059</v>
      </c>
      <c r="P109" s="113">
        <f t="shared" si="28"/>
        <v>8220984</v>
      </c>
      <c r="Q109" s="84">
        <v>0</v>
      </c>
    </row>
    <row r="110" spans="9:20" ht="45">
      <c r="I110" s="248" t="s">
        <v>4972</v>
      </c>
      <c r="J110" s="249">
        <f>L110-L109+48527480</f>
        <v>-4646184</v>
      </c>
      <c r="K110" s="216" t="s">
        <v>4969</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4974</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4980</v>
      </c>
      <c r="J112" s="188">
        <f t="shared" si="21"/>
        <v>-11559770</v>
      </c>
      <c r="K112" s="189" t="s">
        <v>4975</v>
      </c>
      <c r="L112" s="239">
        <v>711658379</v>
      </c>
      <c r="M112" s="239">
        <v>375825031</v>
      </c>
      <c r="N112" s="188">
        <f t="shared" si="29"/>
        <v>1087483410</v>
      </c>
      <c r="O112" s="188">
        <f>M112-M111-400000</f>
        <v>-2767121</v>
      </c>
      <c r="P112" s="188">
        <f>N112-N111-400000</f>
        <v>-14326891</v>
      </c>
      <c r="Q112" s="84">
        <v>400000</v>
      </c>
      <c r="T112" t="s">
        <v>25</v>
      </c>
    </row>
    <row r="113" spans="9:19">
      <c r="I113" s="213" t="s">
        <v>4983</v>
      </c>
      <c r="J113" s="113">
        <f t="shared" si="21"/>
        <v>-47970668</v>
      </c>
      <c r="K113" s="213" t="s">
        <v>4982</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4986</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4987</v>
      </c>
      <c r="L115" s="84">
        <v>673546379</v>
      </c>
      <c r="M115" s="84">
        <v>385390359</v>
      </c>
      <c r="N115" s="113">
        <f t="shared" si="29"/>
        <v>1058936738</v>
      </c>
      <c r="O115" s="113">
        <f t="shared" si="30"/>
        <v>4912397</v>
      </c>
      <c r="P115" s="113">
        <f t="shared" si="31"/>
        <v>5263899</v>
      </c>
      <c r="Q115" s="84">
        <v>0</v>
      </c>
    </row>
    <row r="116" spans="9:19">
      <c r="I116" s="189" t="s">
        <v>4990</v>
      </c>
      <c r="J116" s="188">
        <f t="shared" si="21"/>
        <v>-3653734</v>
      </c>
      <c r="K116" s="189" t="s">
        <v>4988</v>
      </c>
      <c r="L116" s="239">
        <v>669892645</v>
      </c>
      <c r="M116" s="239">
        <v>383350206</v>
      </c>
      <c r="N116" s="188">
        <f>L116+M116</f>
        <v>1053242851</v>
      </c>
      <c r="O116" s="188">
        <f>M116-M115-2000000</f>
        <v>-4040153</v>
      </c>
      <c r="P116" s="188">
        <f>N116-N115-2000000</f>
        <v>-7693887</v>
      </c>
      <c r="Q116" s="84">
        <v>2000000</v>
      </c>
    </row>
    <row r="117" spans="9:19">
      <c r="I117" s="189" t="s">
        <v>4993</v>
      </c>
      <c r="J117" s="188">
        <f t="shared" si="21"/>
        <v>-492645</v>
      </c>
      <c r="K117" s="189" t="s">
        <v>4991</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4994</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4995</v>
      </c>
      <c r="L119" s="84">
        <v>685000000</v>
      </c>
      <c r="M119" s="84">
        <v>395000000</v>
      </c>
      <c r="N119" s="113">
        <f t="shared" si="29"/>
        <v>1080000000</v>
      </c>
      <c r="O119" s="113">
        <f t="shared" si="30"/>
        <v>2295548</v>
      </c>
      <c r="P119" s="113">
        <f t="shared" si="31"/>
        <v>10130487</v>
      </c>
      <c r="Q119" s="84">
        <v>0</v>
      </c>
    </row>
    <row r="120" spans="9:19">
      <c r="I120" s="189" t="s">
        <v>4999</v>
      </c>
      <c r="J120" s="188">
        <f>L120-L119-2100000</f>
        <v>2603523</v>
      </c>
      <c r="K120" s="189" t="s">
        <v>4997</v>
      </c>
      <c r="L120" s="239">
        <v>689703523</v>
      </c>
      <c r="M120" s="239">
        <v>399879880</v>
      </c>
      <c r="N120" s="188">
        <f t="shared" si="29"/>
        <v>1089583403</v>
      </c>
      <c r="O120" s="188">
        <f t="shared" si="30"/>
        <v>4879880</v>
      </c>
      <c r="P120" s="188">
        <f>N120-N119-2100000</f>
        <v>7483403</v>
      </c>
      <c r="Q120" s="84">
        <v>2100000</v>
      </c>
    </row>
    <row r="121" spans="9:19">
      <c r="I121" s="189" t="s">
        <v>5004</v>
      </c>
      <c r="J121" s="188">
        <f>L121-L120-100000</f>
        <v>1223636</v>
      </c>
      <c r="K121" s="189" t="s">
        <v>5002</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5006</v>
      </c>
      <c r="L122" s="84">
        <v>687768941</v>
      </c>
      <c r="M122" s="84">
        <v>400952125</v>
      </c>
      <c r="N122" s="113">
        <f t="shared" si="29"/>
        <v>1088721066</v>
      </c>
      <c r="O122" s="113">
        <f t="shared" si="30"/>
        <v>-968588</v>
      </c>
      <c r="P122" s="113">
        <f t="shared" si="31"/>
        <v>-4226806</v>
      </c>
      <c r="Q122" s="229">
        <v>0</v>
      </c>
    </row>
    <row r="123" spans="9:19">
      <c r="I123" s="189" t="s">
        <v>5014</v>
      </c>
      <c r="J123" s="188">
        <f>L123-L122-115000</f>
        <v>-1004989</v>
      </c>
      <c r="K123" s="189" t="s">
        <v>5009</v>
      </c>
      <c r="L123" s="239">
        <v>686878952</v>
      </c>
      <c r="M123" s="239">
        <v>402566982</v>
      </c>
      <c r="N123" s="188">
        <f>L123+M123</f>
        <v>1089445934</v>
      </c>
      <c r="O123" s="188">
        <f>M123-M122-115000</f>
        <v>1499857</v>
      </c>
      <c r="P123" s="188">
        <f>N123-N122-230000</f>
        <v>494868</v>
      </c>
      <c r="Q123" s="229">
        <v>230000</v>
      </c>
    </row>
    <row r="124" spans="9:19">
      <c r="I124" s="189" t="s">
        <v>5018</v>
      </c>
      <c r="J124" s="188">
        <f>L124-L123-900000</f>
        <v>16455514</v>
      </c>
      <c r="K124" s="189" t="s">
        <v>5016</v>
      </c>
      <c r="L124" s="239">
        <v>704234466</v>
      </c>
      <c r="M124" s="239">
        <v>413359717</v>
      </c>
      <c r="N124" s="188">
        <f t="shared" ref="N124:N145" si="32">L124+M124</f>
        <v>1117594183</v>
      </c>
      <c r="O124" s="188">
        <f t="shared" si="30"/>
        <v>10792735</v>
      </c>
      <c r="P124" s="188">
        <f>N124-N123-900000</f>
        <v>27248249</v>
      </c>
      <c r="Q124" s="229">
        <v>900000</v>
      </c>
    </row>
    <row r="125" spans="9:19">
      <c r="I125" s="189" t="s">
        <v>5022</v>
      </c>
      <c r="J125" s="188">
        <f>L125-L124-241774</f>
        <v>7847987</v>
      </c>
      <c r="K125" s="189" t="s">
        <v>5019</v>
      </c>
      <c r="L125" s="239">
        <v>712324227</v>
      </c>
      <c r="M125" s="239">
        <v>416450606</v>
      </c>
      <c r="N125" s="188">
        <f>L125+M125</f>
        <v>1128774833</v>
      </c>
      <c r="O125" s="188">
        <f>M125-M124-50000</f>
        <v>3040889</v>
      </c>
      <c r="P125" s="188">
        <f>N125-N124-291774</f>
        <v>10888876</v>
      </c>
      <c r="Q125" s="229">
        <v>291774</v>
      </c>
    </row>
    <row r="126" spans="9:19">
      <c r="I126" s="189" t="s">
        <v>5033</v>
      </c>
      <c r="J126" s="188">
        <f>L126-L125-5701774</f>
        <v>-18426154</v>
      </c>
      <c r="K126" s="189" t="s">
        <v>5031</v>
      </c>
      <c r="L126" s="239">
        <v>699599847</v>
      </c>
      <c r="M126" s="239">
        <v>407446033</v>
      </c>
      <c r="N126" s="188">
        <f t="shared" si="32"/>
        <v>1107045880</v>
      </c>
      <c r="O126" s="188">
        <f>M126-M125-50000</f>
        <v>-9054573</v>
      </c>
      <c r="P126" s="188">
        <f>N126-N125-5751774</f>
        <v>-27480727</v>
      </c>
      <c r="Q126" s="229">
        <v>5751774</v>
      </c>
    </row>
    <row r="127" spans="9:19">
      <c r="I127" s="251" t="s">
        <v>5039</v>
      </c>
      <c r="J127" s="252">
        <f t="shared" si="21"/>
        <v>9831878</v>
      </c>
      <c r="K127" s="251" t="s">
        <v>5034</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5040</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5042</v>
      </c>
      <c r="L129" s="255">
        <v>716306417</v>
      </c>
      <c r="M129" s="255">
        <v>419768145</v>
      </c>
      <c r="N129" s="117">
        <f>L129+M129</f>
        <v>1136074562</v>
      </c>
      <c r="O129" s="117">
        <f>M129-M128</f>
        <v>2907177</v>
      </c>
      <c r="P129" s="117">
        <f>N129-N128</f>
        <v>6569162</v>
      </c>
      <c r="Q129" s="229">
        <v>0</v>
      </c>
    </row>
    <row r="130" spans="9:19">
      <c r="I130" s="189" t="s">
        <v>5052</v>
      </c>
      <c r="J130" s="188">
        <f t="shared" si="21"/>
        <v>-9284823</v>
      </c>
      <c r="K130" s="189" t="s">
        <v>5045</v>
      </c>
      <c r="L130" s="239">
        <v>707021594</v>
      </c>
      <c r="M130" s="239">
        <v>420305454</v>
      </c>
      <c r="N130" s="188">
        <f t="shared" si="32"/>
        <v>1127327048</v>
      </c>
      <c r="O130" s="188">
        <f>M130-M129-6800000</f>
        <v>-6262691</v>
      </c>
      <c r="P130" s="188">
        <f>N130-N129-6800000</f>
        <v>-15547514</v>
      </c>
      <c r="Q130" s="229">
        <v>6800000</v>
      </c>
      <c r="S130" t="s">
        <v>25</v>
      </c>
    </row>
    <row r="131" spans="9:19">
      <c r="I131" s="189" t="s">
        <v>5060</v>
      </c>
      <c r="J131" s="188">
        <f t="shared" si="21"/>
        <v>2112595</v>
      </c>
      <c r="K131" s="189" t="s">
        <v>5053</v>
      </c>
      <c r="L131" s="239">
        <v>709134189</v>
      </c>
      <c r="M131" s="239">
        <v>421097153</v>
      </c>
      <c r="N131" s="188">
        <f t="shared" si="32"/>
        <v>1130231342</v>
      </c>
      <c r="O131" s="188">
        <f>M131-M130-500000</f>
        <v>291699</v>
      </c>
      <c r="P131" s="188">
        <f>N131-N130-500000</f>
        <v>2404294</v>
      </c>
      <c r="Q131" s="229">
        <v>500000</v>
      </c>
      <c r="S131" t="s">
        <v>25</v>
      </c>
    </row>
    <row r="132" spans="9:19">
      <c r="I132" s="251" t="s">
        <v>5064</v>
      </c>
      <c r="J132" s="252">
        <f t="shared" si="21"/>
        <v>1064287</v>
      </c>
      <c r="K132" s="251" t="s">
        <v>5061</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5068</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5069</v>
      </c>
      <c r="L134" s="84">
        <v>744280570</v>
      </c>
      <c r="M134" s="84">
        <v>440002399</v>
      </c>
      <c r="N134" s="117">
        <f t="shared" si="32"/>
        <v>1184282969</v>
      </c>
      <c r="O134" s="113">
        <f t="shared" si="30"/>
        <v>10396274</v>
      </c>
      <c r="P134" s="113">
        <f t="shared" si="31"/>
        <v>31854556</v>
      </c>
      <c r="Q134" s="229">
        <v>0</v>
      </c>
    </row>
    <row r="135" spans="9:19">
      <c r="I135" s="189" t="s">
        <v>5091</v>
      </c>
      <c r="J135" s="188">
        <f>L135-L134-1130250</f>
        <v>-410820</v>
      </c>
      <c r="K135" s="189" t="s">
        <v>5071</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5075</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5083</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5087</v>
      </c>
      <c r="L138" s="84">
        <v>736327754</v>
      </c>
      <c r="M138" s="84">
        <v>439057094</v>
      </c>
      <c r="N138" s="113">
        <f t="shared" si="32"/>
        <v>1175384848</v>
      </c>
      <c r="O138" s="113">
        <f t="shared" si="30"/>
        <v>5516545</v>
      </c>
      <c r="P138" s="113">
        <f t="shared" si="31"/>
        <v>9638954</v>
      </c>
      <c r="Q138" s="229">
        <v>0</v>
      </c>
    </row>
    <row r="139" spans="9:19">
      <c r="I139" s="189" t="s">
        <v>5090</v>
      </c>
      <c r="J139" s="188">
        <f>L139-L138-206000</f>
        <v>15013287</v>
      </c>
      <c r="K139" s="189" t="s">
        <v>5089</v>
      </c>
      <c r="L139" s="239">
        <v>751547041</v>
      </c>
      <c r="M139" s="239">
        <v>448656068</v>
      </c>
      <c r="N139" s="188">
        <f t="shared" si="32"/>
        <v>1200203109</v>
      </c>
      <c r="O139" s="188">
        <f>M139-M138-206000</f>
        <v>9392974</v>
      </c>
      <c r="P139" s="188">
        <f>N139-N138-412000</f>
        <v>24406261</v>
      </c>
      <c r="Q139" s="229">
        <v>412000</v>
      </c>
    </row>
    <row r="140" spans="9:19">
      <c r="I140" s="251" t="s">
        <v>5096</v>
      </c>
      <c r="J140" s="252">
        <f>L140-L139-50000</f>
        <v>22852739</v>
      </c>
      <c r="K140" s="251" t="s">
        <v>5095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5102</v>
      </c>
      <c r="L141" s="84">
        <v>788064769</v>
      </c>
      <c r="M141" s="84">
        <v>470434493</v>
      </c>
      <c r="N141" s="117">
        <f t="shared" si="32"/>
        <v>1258499262</v>
      </c>
      <c r="O141" s="113">
        <f t="shared" si="30"/>
        <v>9638295</v>
      </c>
      <c r="P141" s="113">
        <f t="shared" si="31"/>
        <v>23253284</v>
      </c>
      <c r="Q141" s="229">
        <v>0</v>
      </c>
    </row>
    <row r="142" spans="9:19">
      <c r="I142" s="189" t="s">
        <v>5106</v>
      </c>
      <c r="J142" s="188">
        <f>L142-L141-105000</f>
        <v>7274368</v>
      </c>
      <c r="K142" s="189" t="s">
        <v>5103</v>
      </c>
      <c r="L142" s="239">
        <v>795444137</v>
      </c>
      <c r="M142" s="239">
        <v>496046411</v>
      </c>
      <c r="N142" s="188">
        <f t="shared" si="32"/>
        <v>1291490548</v>
      </c>
      <c r="O142" s="188">
        <f>M142-M141-20000000</f>
        <v>5611918</v>
      </c>
      <c r="P142" s="188">
        <f>N142-N141-20105000</f>
        <v>12886286</v>
      </c>
      <c r="Q142" s="229">
        <v>20105000</v>
      </c>
    </row>
    <row r="143" spans="9:19">
      <c r="I143" s="266" t="s">
        <v>5120</v>
      </c>
      <c r="J143" s="267">
        <f>L143-L142+21285588</f>
        <v>17942685</v>
      </c>
      <c r="K143" s="266" t="s">
        <v>5109</v>
      </c>
      <c r="L143" s="268">
        <v>792101234</v>
      </c>
      <c r="M143" s="268">
        <v>504721695</v>
      </c>
      <c r="N143" s="267">
        <f t="shared" si="32"/>
        <v>1296822929</v>
      </c>
      <c r="O143" s="267">
        <f t="shared" si="30"/>
        <v>8675284</v>
      </c>
      <c r="P143" s="267">
        <f>N143-N142+21285588</f>
        <v>26617969</v>
      </c>
      <c r="Q143" s="229">
        <v>-21285588</v>
      </c>
    </row>
    <row r="144" spans="9:19">
      <c r="I144" s="266" t="s">
        <v>5121</v>
      </c>
      <c r="J144" s="267">
        <f>L144-L143+5949277</f>
        <v>6616903</v>
      </c>
      <c r="K144" s="266" t="s">
        <v>5112</v>
      </c>
      <c r="L144" s="268">
        <v>792768860</v>
      </c>
      <c r="M144" s="268">
        <v>507955566</v>
      </c>
      <c r="N144" s="249">
        <f t="shared" si="32"/>
        <v>1300724426</v>
      </c>
      <c r="O144" s="267">
        <f t="shared" si="30"/>
        <v>3233871</v>
      </c>
      <c r="P144" s="267">
        <f>N144-N143+5949277</f>
        <v>9850774</v>
      </c>
      <c r="Q144" s="229">
        <v>-5949277</v>
      </c>
    </row>
    <row r="145" spans="9:23" ht="30">
      <c r="I145" s="248" t="s">
        <v>5122</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5129</v>
      </c>
      <c r="J146" s="220">
        <f>L146-L145+15482124</f>
        <v>-6662026</v>
      </c>
      <c r="K146" s="219" t="s">
        <v>5123</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5132</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5133</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5134</v>
      </c>
      <c r="L149" s="84">
        <v>740819252</v>
      </c>
      <c r="M149" s="84">
        <v>470305993</v>
      </c>
      <c r="N149" s="113">
        <f t="shared" si="33"/>
        <v>1211125245</v>
      </c>
      <c r="O149" s="113">
        <f t="shared" si="35"/>
        <v>-1758760</v>
      </c>
      <c r="P149" s="113">
        <f t="shared" si="36"/>
        <v>-3863586</v>
      </c>
      <c r="Q149" s="229">
        <v>0</v>
      </c>
      <c r="V149" t="s">
        <v>25</v>
      </c>
    </row>
    <row r="150" spans="9:23">
      <c r="I150" s="189" t="s">
        <v>5137</v>
      </c>
      <c r="J150" s="188">
        <f t="shared" si="34"/>
        <v>19640187</v>
      </c>
      <c r="K150" s="189" t="s">
        <v>5136</v>
      </c>
      <c r="L150" s="239">
        <v>760459439</v>
      </c>
      <c r="M150" s="239">
        <v>480341526</v>
      </c>
      <c r="N150" s="188">
        <f t="shared" si="33"/>
        <v>1240800965</v>
      </c>
      <c r="O150" s="188">
        <f>M150-M149-2480000</f>
        <v>7555533</v>
      </c>
      <c r="P150" s="188">
        <f>N150-N149-2480000</f>
        <v>27195720</v>
      </c>
      <c r="Q150" s="229">
        <v>2480000</v>
      </c>
    </row>
    <row r="151" spans="9:23">
      <c r="I151" s="213" t="s">
        <v>5140</v>
      </c>
      <c r="J151" s="113">
        <f>L151-L150-10000000</f>
        <v>7047541</v>
      </c>
      <c r="K151" s="213" t="s">
        <v>5139</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5146</v>
      </c>
      <c r="L152" s="84">
        <v>789833167</v>
      </c>
      <c r="M152" s="84">
        <v>496662271</v>
      </c>
      <c r="N152" s="35">
        <f t="shared" si="33"/>
        <v>1286495438</v>
      </c>
      <c r="O152" s="113">
        <f t="shared" si="35"/>
        <v>9650330</v>
      </c>
      <c r="P152" s="113">
        <f t="shared" si="36"/>
        <v>21976517</v>
      </c>
      <c r="Q152" s="229">
        <v>0</v>
      </c>
    </row>
    <row r="153" spans="9:23">
      <c r="I153" s="213"/>
      <c r="J153" s="113">
        <f t="shared" si="34"/>
        <v>-15331439</v>
      </c>
      <c r="K153" s="213" t="s">
        <v>5150</v>
      </c>
      <c r="L153" s="84">
        <v>774501728</v>
      </c>
      <c r="M153" s="84">
        <v>489029442</v>
      </c>
      <c r="N153" s="113">
        <f t="shared" si="33"/>
        <v>1263531170</v>
      </c>
      <c r="O153" s="113">
        <f t="shared" si="35"/>
        <v>-7632829</v>
      </c>
      <c r="P153" s="113">
        <f t="shared" si="36"/>
        <v>-22964268</v>
      </c>
    </row>
    <row r="154" spans="9:23">
      <c r="I154" s="213"/>
      <c r="J154" s="113">
        <f t="shared" si="34"/>
        <v>-32356446</v>
      </c>
      <c r="K154" s="213" t="s">
        <v>5154</v>
      </c>
      <c r="L154" s="84">
        <v>742145282</v>
      </c>
      <c r="M154" s="84">
        <v>468861007</v>
      </c>
      <c r="N154" s="113">
        <f t="shared" si="33"/>
        <v>1211006289</v>
      </c>
      <c r="O154" s="113">
        <f t="shared" si="35"/>
        <v>-20168435</v>
      </c>
      <c r="P154" s="113">
        <f t="shared" si="36"/>
        <v>-52524881</v>
      </c>
      <c r="S154" s="114"/>
    </row>
    <row r="155" spans="9:23">
      <c r="I155" s="213"/>
      <c r="J155" s="113">
        <f t="shared" si="34"/>
        <v>27087716</v>
      </c>
      <c r="K155" s="213" t="s">
        <v>5148</v>
      </c>
      <c r="L155" s="84">
        <v>769232998</v>
      </c>
      <c r="M155" s="84">
        <v>486200144</v>
      </c>
      <c r="N155" s="113">
        <f t="shared" si="33"/>
        <v>1255433142</v>
      </c>
      <c r="O155" s="113">
        <f t="shared" si="35"/>
        <v>17339137</v>
      </c>
      <c r="P155" s="113">
        <f t="shared" si="36"/>
        <v>44426853</v>
      </c>
    </row>
    <row r="156" spans="9:23">
      <c r="I156" s="213"/>
      <c r="J156" s="113">
        <f t="shared" si="34"/>
        <v>-11588296</v>
      </c>
      <c r="K156" s="213" t="s">
        <v>5162</v>
      </c>
      <c r="L156" s="84">
        <v>757644702</v>
      </c>
      <c r="M156" s="84">
        <v>479518419</v>
      </c>
      <c r="N156" s="113">
        <f t="shared" si="33"/>
        <v>1237163121</v>
      </c>
      <c r="O156" s="113">
        <f t="shared" si="35"/>
        <v>-6681725</v>
      </c>
      <c r="P156" s="113">
        <f t="shared" si="36"/>
        <v>-18270021</v>
      </c>
    </row>
    <row r="157" spans="9:23">
      <c r="I157" s="213"/>
      <c r="J157" s="113">
        <f t="shared" si="34"/>
        <v>-757644702</v>
      </c>
      <c r="K157" s="213">
        <v>0</v>
      </c>
      <c r="L157" s="84">
        <v>0</v>
      </c>
      <c r="M157" s="84">
        <v>0</v>
      </c>
      <c r="N157" s="113">
        <f t="shared" si="33"/>
        <v>0</v>
      </c>
      <c r="O157" s="113">
        <f t="shared" si="35"/>
        <v>-479518419</v>
      </c>
      <c r="P157" s="113">
        <f t="shared" si="36"/>
        <v>-1237163121</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4755</v>
      </c>
      <c r="B44" s="113">
        <v>-31000</v>
      </c>
      <c r="C44" s="99" t="s">
        <v>4764</v>
      </c>
      <c r="D44" s="99">
        <v>19</v>
      </c>
      <c r="E44" s="99">
        <f t="shared" ref="E44:E50" si="6">E45+D44</f>
        <v>47</v>
      </c>
      <c r="F44" s="99">
        <f t="shared" ref="F44:F50" si="7">IF(B44&gt;0,1,0)</f>
        <v>0</v>
      </c>
      <c r="G44" s="99">
        <f t="shared" ref="G44:G50" si="8">B44*(E44-F44)</f>
        <v>-1457000</v>
      </c>
    </row>
    <row r="45" spans="1:14">
      <c r="A45" s="99" t="s">
        <v>4840</v>
      </c>
      <c r="B45" s="113">
        <v>2060725</v>
      </c>
      <c r="C45" s="99" t="s">
        <v>4843</v>
      </c>
      <c r="D45" s="99">
        <v>6</v>
      </c>
      <c r="E45" s="99">
        <f t="shared" si="6"/>
        <v>28</v>
      </c>
      <c r="F45" s="99">
        <f t="shared" si="7"/>
        <v>1</v>
      </c>
      <c r="G45" s="99">
        <f t="shared" si="8"/>
        <v>55639575</v>
      </c>
    </row>
    <row r="46" spans="1:14">
      <c r="A46" s="99" t="s">
        <v>4866</v>
      </c>
      <c r="B46" s="113">
        <v>-1073169</v>
      </c>
      <c r="C46" s="99" t="s">
        <v>4867</v>
      </c>
      <c r="D46" s="99">
        <v>4</v>
      </c>
      <c r="E46" s="99">
        <f t="shared" si="6"/>
        <v>22</v>
      </c>
      <c r="F46" s="99">
        <f t="shared" si="7"/>
        <v>0</v>
      </c>
      <c r="G46" s="99">
        <f t="shared" si="8"/>
        <v>-23609718</v>
      </c>
    </row>
    <row r="47" spans="1:14">
      <c r="A47" s="99" t="s">
        <v>4858</v>
      </c>
      <c r="B47" s="113">
        <v>-178820</v>
      </c>
      <c r="C47" s="99" t="s">
        <v>4014</v>
      </c>
      <c r="D47" s="99">
        <v>0</v>
      </c>
      <c r="E47" s="99">
        <f t="shared" si="6"/>
        <v>18</v>
      </c>
      <c r="F47" s="99">
        <f t="shared" si="7"/>
        <v>0</v>
      </c>
      <c r="G47" s="99">
        <f t="shared" si="8"/>
        <v>-3218760</v>
      </c>
      <c r="L47" t="s">
        <v>25</v>
      </c>
    </row>
    <row r="48" spans="1:14">
      <c r="A48" s="99" t="s">
        <v>4858</v>
      </c>
      <c r="B48" s="113">
        <v>-25000</v>
      </c>
      <c r="C48" s="99" t="s">
        <v>751</v>
      </c>
      <c r="D48" s="99">
        <v>4</v>
      </c>
      <c r="E48" s="99">
        <f t="shared" si="6"/>
        <v>18</v>
      </c>
      <c r="F48" s="99">
        <f t="shared" si="7"/>
        <v>0</v>
      </c>
      <c r="G48" s="99">
        <f t="shared" si="8"/>
        <v>-450000</v>
      </c>
      <c r="L48" t="s">
        <v>25</v>
      </c>
    </row>
    <row r="49" spans="1:13">
      <c r="A49" s="99" t="s">
        <v>4871</v>
      </c>
      <c r="B49" s="113">
        <v>-49500</v>
      </c>
      <c r="C49" s="99" t="s">
        <v>452</v>
      </c>
      <c r="D49" s="99">
        <v>2</v>
      </c>
      <c r="E49" s="99">
        <f t="shared" si="6"/>
        <v>14</v>
      </c>
      <c r="F49" s="99">
        <f t="shared" si="7"/>
        <v>0</v>
      </c>
      <c r="G49" s="99">
        <f t="shared" si="8"/>
        <v>-693000</v>
      </c>
    </row>
    <row r="50" spans="1:13">
      <c r="A50" s="99" t="s">
        <v>4875</v>
      </c>
      <c r="B50" s="113">
        <v>-4500</v>
      </c>
      <c r="C50" s="99" t="s">
        <v>452</v>
      </c>
      <c r="D50" s="99">
        <v>1</v>
      </c>
      <c r="E50" s="99">
        <f t="shared" si="6"/>
        <v>12</v>
      </c>
      <c r="F50" s="99">
        <f t="shared" si="7"/>
        <v>0</v>
      </c>
      <c r="G50" s="99">
        <f t="shared" si="8"/>
        <v>-54000</v>
      </c>
    </row>
    <row r="51" spans="1:13">
      <c r="A51" s="99" t="s">
        <v>4876</v>
      </c>
      <c r="B51" s="113">
        <v>-328000</v>
      </c>
      <c r="C51" s="99" t="s">
        <v>452</v>
      </c>
      <c r="D51" s="99">
        <v>4</v>
      </c>
      <c r="E51" s="99">
        <f t="shared" ref="E51:E61" si="9">E52+D51</f>
        <v>11</v>
      </c>
      <c r="F51" s="99">
        <f t="shared" ref="F51:F61" si="10">IF(B51&gt;0,1,0)</f>
        <v>0</v>
      </c>
      <c r="G51" s="99">
        <f t="shared" ref="G51:G61" si="11">B51*(E51-F51)</f>
        <v>-3608000</v>
      </c>
    </row>
    <row r="52" spans="1:13">
      <c r="A52" s="99" t="s">
        <v>4880</v>
      </c>
      <c r="B52" s="113">
        <v>-195330</v>
      </c>
      <c r="C52" s="99" t="s">
        <v>4886</v>
      </c>
      <c r="D52" s="99">
        <v>1</v>
      </c>
      <c r="E52" s="99">
        <f t="shared" si="9"/>
        <v>7</v>
      </c>
      <c r="F52" s="99">
        <f t="shared" si="10"/>
        <v>0</v>
      </c>
      <c r="G52" s="99">
        <f t="shared" si="11"/>
        <v>-1367310</v>
      </c>
    </row>
    <row r="53" spans="1:13">
      <c r="A53" s="99" t="s">
        <v>4889</v>
      </c>
      <c r="B53" s="113">
        <v>-140730</v>
      </c>
      <c r="C53" s="99" t="s">
        <v>4893</v>
      </c>
      <c r="D53" s="99">
        <v>1</v>
      </c>
      <c r="E53" s="99">
        <f t="shared" si="9"/>
        <v>6</v>
      </c>
      <c r="F53" s="99">
        <f t="shared" si="10"/>
        <v>0</v>
      </c>
      <c r="G53" s="99">
        <f t="shared" si="11"/>
        <v>-844380</v>
      </c>
    </row>
    <row r="54" spans="1:13">
      <c r="A54" s="99" t="s">
        <v>4891</v>
      </c>
      <c r="B54" s="113">
        <v>-4200</v>
      </c>
      <c r="C54" s="99" t="s">
        <v>1070</v>
      </c>
      <c r="D54" s="99">
        <v>0</v>
      </c>
      <c r="E54" s="99">
        <f t="shared" si="9"/>
        <v>5</v>
      </c>
      <c r="F54" s="99">
        <f t="shared" si="10"/>
        <v>0</v>
      </c>
      <c r="G54" s="99">
        <f t="shared" si="11"/>
        <v>-21000</v>
      </c>
    </row>
    <row r="55" spans="1:13">
      <c r="A55" s="99" t="s">
        <v>4891</v>
      </c>
      <c r="B55" s="113">
        <v>-66567</v>
      </c>
      <c r="C55" s="99" t="s">
        <v>4014</v>
      </c>
      <c r="D55" s="99">
        <v>4</v>
      </c>
      <c r="E55" s="99">
        <f t="shared" si="9"/>
        <v>5</v>
      </c>
      <c r="F55" s="99">
        <f t="shared" si="10"/>
        <v>0</v>
      </c>
      <c r="G55" s="99">
        <f t="shared" si="11"/>
        <v>-332835</v>
      </c>
    </row>
    <row r="56" spans="1:13">
      <c r="A56" s="99" t="s">
        <v>4895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4806</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4806</v>
      </c>
      <c r="I46" s="11">
        <v>248200</v>
      </c>
      <c r="J46" s="11" t="s">
        <v>4816</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4690</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4696</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4696</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4698</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4699</v>
      </c>
      <c r="B22" s="18">
        <v>-324747</v>
      </c>
      <c r="C22" s="18">
        <v>0</v>
      </c>
      <c r="D22" s="113">
        <f t="shared" si="0"/>
        <v>-324747</v>
      </c>
      <c r="E22" s="19" t="s">
        <v>4706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4713</v>
      </c>
      <c r="B23" s="18">
        <v>-297992</v>
      </c>
      <c r="C23" s="18">
        <v>0</v>
      </c>
      <c r="D23" s="113">
        <f t="shared" si="0"/>
        <v>-297992</v>
      </c>
      <c r="E23" s="19" t="s">
        <v>4714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4722</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4697</v>
      </c>
      <c r="F53" s="114"/>
      <c r="G53" s="41"/>
      <c r="H53" s="96"/>
      <c r="I53" s="96"/>
      <c r="J53" s="96"/>
      <c r="K53" s="96"/>
      <c r="L53" s="96"/>
      <c r="M53" s="96"/>
      <c r="N53" s="96"/>
      <c r="O53" s="96"/>
      <c r="P53" s="96"/>
      <c r="Q53" s="96"/>
      <c r="R53" s="96"/>
      <c r="S53" s="96"/>
    </row>
    <row r="54" spans="1:19">
      <c r="A54" s="96"/>
      <c r="B54" s="96"/>
      <c r="C54" s="96"/>
      <c r="D54" s="18">
        <v>115000</v>
      </c>
      <c r="E54" s="122" t="s">
        <v>4702</v>
      </c>
      <c r="F54" s="114"/>
      <c r="G54" s="41"/>
      <c r="H54" s="96"/>
      <c r="I54" s="96"/>
      <c r="J54" s="96"/>
      <c r="K54" s="96"/>
      <c r="L54" s="96"/>
      <c r="M54" s="96"/>
      <c r="N54" s="96"/>
      <c r="O54" s="96"/>
      <c r="P54" s="96"/>
      <c r="Q54" s="96"/>
      <c r="R54" s="96"/>
      <c r="S54" s="96"/>
    </row>
    <row r="55" spans="1:19">
      <c r="A55" s="96"/>
      <c r="B55" s="96"/>
      <c r="C55" s="96"/>
      <c r="D55" s="18">
        <v>247560</v>
      </c>
      <c r="E55" s="122" t="s">
        <v>4703</v>
      </c>
      <c r="F55" s="114"/>
      <c r="G55" s="41"/>
      <c r="H55" s="96"/>
      <c r="I55" s="96"/>
      <c r="J55" s="96"/>
      <c r="K55" s="96"/>
      <c r="L55" s="96"/>
      <c r="M55" s="96"/>
      <c r="N55" s="96"/>
      <c r="O55" s="96"/>
      <c r="P55" s="96"/>
      <c r="Q55" s="96"/>
      <c r="R55" s="96"/>
      <c r="S55" s="96"/>
    </row>
    <row r="56" spans="1:19">
      <c r="A56" s="96"/>
      <c r="B56" s="96"/>
      <c r="C56" s="96"/>
      <c r="D56" s="18">
        <v>77187</v>
      </c>
      <c r="E56" s="122" t="s">
        <v>4704</v>
      </c>
      <c r="F56" s="96"/>
      <c r="G56" s="96"/>
      <c r="H56" s="96" t="s">
        <v>25</v>
      </c>
      <c r="I56" s="96"/>
      <c r="J56" s="96"/>
      <c r="K56" s="96"/>
      <c r="L56" s="96"/>
      <c r="M56" s="96"/>
      <c r="N56" s="96"/>
      <c r="O56" s="96"/>
      <c r="P56" s="96"/>
      <c r="Q56" s="96"/>
      <c r="R56" s="96"/>
      <c r="S56" s="96"/>
    </row>
    <row r="57" spans="1:19">
      <c r="A57" s="96"/>
      <c r="B57" s="96"/>
      <c r="C57" s="96"/>
      <c r="D57" s="18">
        <v>-140000</v>
      </c>
      <c r="E57" s="122" t="s">
        <v>4707</v>
      </c>
      <c r="F57" s="96"/>
      <c r="G57" s="96"/>
      <c r="H57" s="96"/>
      <c r="I57" s="96"/>
      <c r="J57" s="96"/>
      <c r="K57" s="96"/>
      <c r="L57" s="96"/>
      <c r="M57" s="96"/>
      <c r="N57" s="96"/>
      <c r="O57" s="96"/>
      <c r="P57" s="96"/>
      <c r="Q57" s="96"/>
      <c r="R57" s="96"/>
      <c r="S57" s="96"/>
    </row>
    <row r="58" spans="1:19">
      <c r="A58" s="96"/>
      <c r="B58" s="96"/>
      <c r="C58" s="96"/>
      <c r="D58" s="18">
        <v>-1600000</v>
      </c>
      <c r="E58" s="122" t="s">
        <v>4708</v>
      </c>
      <c r="F58" s="96"/>
      <c r="G58" s="96"/>
      <c r="H58" s="96"/>
      <c r="I58" s="96"/>
      <c r="J58" s="96"/>
      <c r="K58" s="96"/>
      <c r="L58" s="96"/>
      <c r="M58" s="96"/>
      <c r="N58" s="96"/>
      <c r="O58" s="96"/>
      <c r="P58" s="96"/>
      <c r="Q58" s="96"/>
      <c r="R58" s="96"/>
      <c r="S58" s="96"/>
    </row>
    <row r="59" spans="1:19">
      <c r="A59" s="96"/>
      <c r="B59" s="96"/>
      <c r="C59" s="96"/>
      <c r="D59" s="18">
        <v>-2000</v>
      </c>
      <c r="E59" s="122" t="s">
        <v>4715</v>
      </c>
      <c r="F59" s="96"/>
      <c r="G59" s="96"/>
      <c r="H59" s="96"/>
      <c r="I59" s="96"/>
      <c r="J59" s="96"/>
      <c r="K59" s="96"/>
      <c r="L59" s="96"/>
      <c r="M59" s="96"/>
      <c r="N59" s="96"/>
      <c r="O59" s="96"/>
      <c r="P59" s="96"/>
      <c r="Q59" s="96"/>
      <c r="R59" s="96"/>
      <c r="S59" s="96"/>
    </row>
    <row r="60" spans="1:19">
      <c r="A60" s="96"/>
      <c r="B60" s="96"/>
      <c r="C60" s="96"/>
      <c r="D60" s="18">
        <v>40000</v>
      </c>
      <c r="E60" s="122" t="s">
        <v>4728</v>
      </c>
      <c r="F60" s="96"/>
      <c r="G60" s="96"/>
      <c r="H60" s="96"/>
      <c r="I60" s="96"/>
      <c r="J60" s="96"/>
      <c r="K60" s="96"/>
      <c r="L60" s="96"/>
      <c r="M60" s="96"/>
      <c r="N60" s="96"/>
      <c r="O60" s="96"/>
      <c r="P60" s="96"/>
      <c r="Q60" s="96"/>
      <c r="R60" s="96"/>
      <c r="S60" s="96"/>
    </row>
    <row r="61" spans="1:19">
      <c r="A61" s="96"/>
      <c r="B61" s="96"/>
      <c r="C61" s="96"/>
      <c r="D61" s="18">
        <v>-146877</v>
      </c>
      <c r="E61" s="122" t="s">
        <v>4729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4735</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4755</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4763</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4763</v>
      </c>
      <c r="B6" s="18">
        <v>-1866154</v>
      </c>
      <c r="C6" s="18">
        <v>0</v>
      </c>
      <c r="D6" s="113">
        <f t="shared" si="0"/>
        <v>-1866154</v>
      </c>
      <c r="E6" s="19" t="s">
        <v>4769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4763</v>
      </c>
      <c r="B7" s="18">
        <v>-36600</v>
      </c>
      <c r="C7" s="18">
        <v>0</v>
      </c>
      <c r="D7" s="113">
        <f t="shared" si="0"/>
        <v>-36600</v>
      </c>
      <c r="E7" s="19" t="s">
        <v>4770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4771</v>
      </c>
      <c r="B8" s="18">
        <v>-492000</v>
      </c>
      <c r="C8" s="18">
        <v>0</v>
      </c>
      <c r="D8" s="113">
        <f t="shared" si="0"/>
        <v>-492000</v>
      </c>
      <c r="E8" s="19" t="s">
        <v>4772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4771</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4771</v>
      </c>
      <c r="B10" s="18">
        <v>-40000</v>
      </c>
      <c r="C10" s="18">
        <v>0</v>
      </c>
      <c r="D10" s="113">
        <f t="shared" si="0"/>
        <v>-40000</v>
      </c>
      <c r="E10" s="19" t="s">
        <v>4774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4775</v>
      </c>
      <c r="B11" s="18">
        <v>-66000</v>
      </c>
      <c r="C11" s="18">
        <v>0</v>
      </c>
      <c r="D11" s="113">
        <f t="shared" si="0"/>
        <v>-66000</v>
      </c>
      <c r="E11" s="19" t="s">
        <v>4774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4776</v>
      </c>
      <c r="B13" s="18">
        <v>-200500</v>
      </c>
      <c r="C13" s="18">
        <v>0</v>
      </c>
      <c r="D13" s="113">
        <f t="shared" si="0"/>
        <v>-200500</v>
      </c>
      <c r="E13" s="20" t="s">
        <v>4777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4781</v>
      </c>
      <c r="B14" s="18">
        <v>1563000</v>
      </c>
      <c r="C14" s="18">
        <v>0</v>
      </c>
      <c r="D14" s="113">
        <f t="shared" si="0"/>
        <v>1563000</v>
      </c>
      <c r="E14" s="20" t="s">
        <v>4786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4781</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4795</v>
      </c>
      <c r="B16" s="18">
        <v>-20000</v>
      </c>
      <c r="C16" s="18">
        <v>0</v>
      </c>
      <c r="D16" s="113">
        <f t="shared" si="0"/>
        <v>-20000</v>
      </c>
      <c r="E16" s="20" t="s">
        <v>4799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4819</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4828</v>
      </c>
      <c r="B20" s="18">
        <v>400000</v>
      </c>
      <c r="C20" s="18">
        <v>0</v>
      </c>
      <c r="D20" s="113">
        <f t="shared" si="0"/>
        <v>400000</v>
      </c>
      <c r="E20" s="19" t="s">
        <v>4830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4832</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4832</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4832</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4834</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4835</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4835</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4840</v>
      </c>
      <c r="B28" s="18">
        <v>433375</v>
      </c>
      <c r="C28" s="18">
        <v>0</v>
      </c>
      <c r="D28" s="113">
        <f t="shared" si="0"/>
        <v>433375</v>
      </c>
      <c r="E28" s="19" t="s">
        <v>4843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4849</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4849</v>
      </c>
      <c r="B30" s="18">
        <v>-300000</v>
      </c>
      <c r="C30" s="18">
        <v>0</v>
      </c>
      <c r="D30" s="113">
        <f t="shared" si="0"/>
        <v>-300000</v>
      </c>
      <c r="E30" s="19" t="s">
        <v>4852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4849</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4733</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4820</v>
      </c>
      <c r="F68" s="96"/>
      <c r="G68" s="96"/>
      <c r="H68" s="96"/>
      <c r="I68" s="96"/>
    </row>
    <row r="69" spans="1:22">
      <c r="A69" s="96"/>
      <c r="B69" s="96"/>
      <c r="C69" s="96"/>
      <c r="D69" s="18">
        <v>-67844</v>
      </c>
      <c r="E69" s="122" t="s">
        <v>4822</v>
      </c>
      <c r="F69" s="96"/>
      <c r="G69" s="96"/>
      <c r="H69" s="96"/>
      <c r="I69" s="96"/>
    </row>
    <row r="70" spans="1:22">
      <c r="D70" s="18">
        <v>-400000</v>
      </c>
      <c r="E70" s="122" t="s">
        <v>4831</v>
      </c>
      <c r="G70" t="s">
        <v>25</v>
      </c>
    </row>
    <row r="71" spans="1:22">
      <c r="D71" s="18">
        <v>463200</v>
      </c>
      <c r="E71" s="122" t="s">
        <v>4833</v>
      </c>
    </row>
    <row r="72" spans="1:22">
      <c r="D72" s="18">
        <v>2000000</v>
      </c>
      <c r="E72" s="96" t="s">
        <v>4836</v>
      </c>
    </row>
    <row r="73" spans="1:22">
      <c r="D73" s="18">
        <v>-280000</v>
      </c>
      <c r="E73" t="s">
        <v>4837</v>
      </c>
    </row>
    <row r="74" spans="1:22">
      <c r="D74" s="18">
        <v>-200000</v>
      </c>
      <c r="E74" s="96" t="s">
        <v>4844</v>
      </c>
    </row>
    <row r="75" spans="1:22">
      <c r="D75" s="18">
        <v>-2000000</v>
      </c>
      <c r="E75" s="96" t="s">
        <v>4850</v>
      </c>
    </row>
    <row r="76" spans="1:22">
      <c r="D76" s="18">
        <v>92800</v>
      </c>
      <c r="E76" s="96" t="s">
        <v>4854</v>
      </c>
    </row>
    <row r="77" spans="1:22">
      <c r="D77" s="18">
        <v>1417727</v>
      </c>
      <c r="E77" s="96" t="s">
        <v>4855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5044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5114</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5113</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4771</v>
      </c>
      <c r="B5" t="s">
        <v>4788</v>
      </c>
    </row>
    <row r="6" spans="1:3">
      <c r="A6" t="s">
        <v>4781</v>
      </c>
      <c r="B6" t="s">
        <v>4789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4718</v>
      </c>
      <c r="C1" s="99" t="s">
        <v>3935</v>
      </c>
      <c r="D1" s="99" t="s">
        <v>8</v>
      </c>
      <c r="E1" s="96"/>
      <c r="F1" s="96"/>
      <c r="G1" s="96"/>
    </row>
    <row r="2" spans="1:7">
      <c r="A2" s="99" t="s">
        <v>4709</v>
      </c>
      <c r="B2" s="95">
        <v>10300</v>
      </c>
      <c r="C2" s="95">
        <v>0</v>
      </c>
      <c r="D2" s="99" t="s">
        <v>4719</v>
      </c>
      <c r="E2" s="96"/>
      <c r="F2" s="96"/>
      <c r="G2" s="96"/>
    </row>
    <row r="3" spans="1:7">
      <c r="A3" s="99" t="s">
        <v>4709</v>
      </c>
      <c r="B3" s="95">
        <v>0</v>
      </c>
      <c r="C3" s="95">
        <v>5500</v>
      </c>
      <c r="D3" s="99" t="s">
        <v>4720</v>
      </c>
      <c r="E3" s="96"/>
      <c r="F3" s="96"/>
      <c r="G3" s="96"/>
    </row>
    <row r="4" spans="1:7">
      <c r="A4" s="99" t="s">
        <v>3684</v>
      </c>
      <c r="B4" s="95">
        <v>0</v>
      </c>
      <c r="C4" s="95">
        <v>1000</v>
      </c>
      <c r="D4" s="99" t="s">
        <v>315</v>
      </c>
      <c r="E4" s="96"/>
      <c r="F4" s="96"/>
      <c r="G4" s="96"/>
    </row>
    <row r="5" spans="1:7">
      <c r="A5" s="99" t="s">
        <v>4726</v>
      </c>
      <c r="B5" s="95">
        <v>0</v>
      </c>
      <c r="C5" s="95">
        <v>1000</v>
      </c>
      <c r="D5" s="99" t="s">
        <v>315</v>
      </c>
      <c r="E5" s="96"/>
      <c r="F5" s="96"/>
      <c r="G5" s="96"/>
    </row>
    <row r="6" spans="1:7">
      <c r="A6" s="99" t="s">
        <v>4738</v>
      </c>
      <c r="B6" s="95">
        <v>0</v>
      </c>
      <c r="C6" s="95">
        <v>3000</v>
      </c>
      <c r="D6" s="99" t="s">
        <v>4742</v>
      </c>
      <c r="E6" s="96"/>
      <c r="F6" s="96"/>
      <c r="G6" s="96"/>
    </row>
    <row r="7" spans="1:7">
      <c r="A7" s="99" t="s">
        <v>4738</v>
      </c>
      <c r="B7" s="95">
        <v>9200</v>
      </c>
      <c r="C7" s="95">
        <v>0</v>
      </c>
      <c r="D7" s="99" t="s">
        <v>4719</v>
      </c>
      <c r="E7" s="96"/>
      <c r="F7" s="96"/>
      <c r="G7" s="96"/>
    </row>
    <row r="8" spans="1:7">
      <c r="A8" s="99" t="s">
        <v>4740</v>
      </c>
      <c r="B8" s="95">
        <v>0</v>
      </c>
      <c r="C8" s="95">
        <v>1000</v>
      </c>
      <c r="D8" s="99" t="s">
        <v>315</v>
      </c>
      <c r="E8" s="96"/>
      <c r="F8" s="96"/>
      <c r="G8" s="96"/>
    </row>
    <row r="9" spans="1:7">
      <c r="A9" s="99" t="s">
        <v>4748</v>
      </c>
      <c r="B9" s="99">
        <v>0</v>
      </c>
      <c r="C9" s="99">
        <v>1000</v>
      </c>
      <c r="D9" s="99" t="s">
        <v>315</v>
      </c>
      <c r="E9" s="96"/>
      <c r="F9" s="96"/>
      <c r="G9" s="96"/>
    </row>
    <row r="10" spans="1:7">
      <c r="A10" s="99" t="s">
        <v>4748</v>
      </c>
      <c r="B10" s="95">
        <v>10200</v>
      </c>
      <c r="C10" s="95">
        <v>0</v>
      </c>
      <c r="D10" s="99" t="s">
        <v>4719</v>
      </c>
      <c r="E10" s="96"/>
      <c r="F10" s="96"/>
      <c r="G10" s="96"/>
    </row>
    <row r="11" spans="1:7">
      <c r="A11" s="99" t="s">
        <v>4763</v>
      </c>
      <c r="B11" s="95">
        <v>0</v>
      </c>
      <c r="C11" s="95">
        <v>1000</v>
      </c>
      <c r="D11" s="99" t="s">
        <v>315</v>
      </c>
      <c r="E11" s="96"/>
      <c r="F11" s="96"/>
      <c r="G11" s="96"/>
    </row>
    <row r="12" spans="1:7">
      <c r="A12" s="99" t="s">
        <v>4780</v>
      </c>
      <c r="B12" s="95">
        <v>0</v>
      </c>
      <c r="C12" s="95">
        <v>1000</v>
      </c>
      <c r="D12" s="99" t="s">
        <v>315</v>
      </c>
      <c r="E12" s="96"/>
      <c r="F12" s="96"/>
      <c r="G12" s="96"/>
    </row>
    <row r="13" spans="1:7">
      <c r="A13" s="99" t="s">
        <v>4781</v>
      </c>
      <c r="B13" s="95">
        <v>0</v>
      </c>
      <c r="C13" s="95">
        <v>1000</v>
      </c>
      <c r="D13" s="99" t="s">
        <v>315</v>
      </c>
      <c r="E13" s="96"/>
      <c r="F13" s="96"/>
      <c r="G13" s="96"/>
    </row>
    <row r="14" spans="1:7">
      <c r="A14" s="99" t="s">
        <v>4812</v>
      </c>
      <c r="B14" s="95">
        <v>0</v>
      </c>
      <c r="C14" s="95">
        <v>1000</v>
      </c>
      <c r="D14" s="99" t="s">
        <v>315</v>
      </c>
      <c r="E14" s="96"/>
      <c r="F14" s="96"/>
      <c r="G14" s="96"/>
    </row>
    <row r="15" spans="1:7">
      <c r="A15" s="99" t="s">
        <v>4795</v>
      </c>
      <c r="B15" s="95">
        <v>0</v>
      </c>
      <c r="C15" s="95">
        <v>1000</v>
      </c>
      <c r="D15" s="99" t="s">
        <v>315</v>
      </c>
      <c r="E15" s="96"/>
      <c r="F15" s="96"/>
      <c r="G15" s="96"/>
    </row>
    <row r="16" spans="1:7">
      <c r="A16" s="99" t="s">
        <v>974</v>
      </c>
      <c r="B16" s="95">
        <v>10200</v>
      </c>
      <c r="C16" s="95">
        <v>0</v>
      </c>
      <c r="D16" s="99" t="s">
        <v>4719</v>
      </c>
      <c r="E16" s="96"/>
      <c r="F16" s="96"/>
      <c r="G16" s="96"/>
    </row>
    <row r="17" spans="1:9">
      <c r="A17" s="99" t="s">
        <v>974</v>
      </c>
      <c r="B17" s="95">
        <v>0</v>
      </c>
      <c r="C17" s="95">
        <v>1500</v>
      </c>
      <c r="D17" s="99" t="s">
        <v>315</v>
      </c>
      <c r="E17" s="96"/>
      <c r="F17" s="96"/>
      <c r="G17" s="96"/>
    </row>
    <row r="18" spans="1:9">
      <c r="A18" s="99" t="s">
        <v>4817</v>
      </c>
      <c r="B18" s="95">
        <v>0</v>
      </c>
      <c r="C18" s="95">
        <v>1000</v>
      </c>
      <c r="D18" s="99" t="s">
        <v>315</v>
      </c>
      <c r="E18" s="96"/>
      <c r="F18" s="96"/>
      <c r="G18" s="96"/>
    </row>
    <row r="19" spans="1:9">
      <c r="A19" s="99" t="s">
        <v>4819</v>
      </c>
      <c r="B19" s="95">
        <v>0</v>
      </c>
      <c r="C19" s="95">
        <v>1000</v>
      </c>
      <c r="D19" s="99" t="s">
        <v>315</v>
      </c>
      <c r="E19" s="96"/>
      <c r="F19" s="96"/>
      <c r="G19" s="96"/>
    </row>
    <row r="20" spans="1:9">
      <c r="A20" s="99" t="s">
        <v>4821</v>
      </c>
      <c r="B20" s="95">
        <v>0</v>
      </c>
      <c r="C20" s="95">
        <v>1000</v>
      </c>
      <c r="D20" s="99" t="s">
        <v>315</v>
      </c>
      <c r="E20" s="96"/>
      <c r="F20" s="96"/>
      <c r="G20" s="96"/>
    </row>
    <row r="21" spans="1:9">
      <c r="A21" s="99" t="s">
        <v>4828</v>
      </c>
      <c r="B21" s="95">
        <v>0</v>
      </c>
      <c r="C21" s="95">
        <v>1000</v>
      </c>
      <c r="D21" s="99" t="s">
        <v>315</v>
      </c>
      <c r="E21" s="96"/>
      <c r="F21" s="96"/>
      <c r="G21" s="96"/>
    </row>
    <row r="22" spans="1:9">
      <c r="A22" s="99" t="s">
        <v>4828</v>
      </c>
      <c r="B22" s="95">
        <v>9600</v>
      </c>
      <c r="C22" s="95">
        <v>0</v>
      </c>
      <c r="D22" s="99" t="s">
        <v>4719</v>
      </c>
      <c r="E22" s="96"/>
      <c r="F22" s="96"/>
      <c r="G22" s="96"/>
      <c r="I22" t="s">
        <v>25</v>
      </c>
    </row>
    <row r="23" spans="1:9">
      <c r="A23" s="99" t="s">
        <v>4835</v>
      </c>
      <c r="B23" s="95">
        <v>0</v>
      </c>
      <c r="C23" s="95">
        <v>1000</v>
      </c>
      <c r="D23" s="99" t="s">
        <v>315</v>
      </c>
      <c r="E23" s="96"/>
      <c r="F23" s="96"/>
      <c r="G23" s="96"/>
    </row>
    <row r="24" spans="1:9">
      <c r="A24" s="99" t="s">
        <v>4840</v>
      </c>
      <c r="B24" s="95">
        <v>0</v>
      </c>
      <c r="C24" s="95">
        <v>1000</v>
      </c>
      <c r="D24" s="99" t="s">
        <v>315</v>
      </c>
      <c r="E24" s="96"/>
      <c r="F24" s="96"/>
      <c r="G24" s="96"/>
    </row>
    <row r="25" spans="1:9">
      <c r="A25" s="99" t="s">
        <v>4849</v>
      </c>
      <c r="B25" s="95">
        <v>0</v>
      </c>
      <c r="C25" s="95">
        <v>1000</v>
      </c>
      <c r="D25" s="99" t="s">
        <v>315</v>
      </c>
    </row>
    <row r="26" spans="1:9">
      <c r="A26" s="99" t="s">
        <v>4879</v>
      </c>
      <c r="B26" s="95">
        <v>0</v>
      </c>
      <c r="C26" s="95">
        <v>12000</v>
      </c>
      <c r="D26" s="99" t="s">
        <v>4888</v>
      </c>
    </row>
    <row r="27" spans="1:9">
      <c r="A27" s="99" t="s">
        <v>4880</v>
      </c>
      <c r="B27" s="95">
        <v>0</v>
      </c>
      <c r="C27" s="95">
        <v>1000</v>
      </c>
      <c r="D27" s="99" t="s">
        <v>315</v>
      </c>
    </row>
    <row r="28" spans="1:9">
      <c r="A28" s="99" t="s">
        <v>4889</v>
      </c>
      <c r="B28" s="95">
        <v>0</v>
      </c>
      <c r="C28" s="95">
        <v>1000</v>
      </c>
      <c r="D28" s="99" t="s">
        <v>315</v>
      </c>
    </row>
    <row r="29" spans="1:9">
      <c r="A29" s="99" t="s">
        <v>4891</v>
      </c>
      <c r="B29" s="95">
        <v>0</v>
      </c>
      <c r="C29" s="95">
        <v>1000</v>
      </c>
      <c r="D29" s="99" t="s">
        <v>315</v>
      </c>
    </row>
    <row r="30" spans="1:9">
      <c r="A30" s="99" t="s">
        <v>4892</v>
      </c>
      <c r="B30" s="95">
        <v>0</v>
      </c>
      <c r="C30" s="95">
        <v>5500</v>
      </c>
      <c r="D30" s="99" t="s">
        <v>4720</v>
      </c>
    </row>
    <row r="31" spans="1:9">
      <c r="A31" s="99" t="s">
        <v>4892</v>
      </c>
      <c r="B31" s="95">
        <v>11000</v>
      </c>
      <c r="C31" s="95">
        <v>0</v>
      </c>
      <c r="D31" s="99" t="s">
        <v>4719</v>
      </c>
    </row>
    <row r="32" spans="1:9">
      <c r="A32" s="99" t="s">
        <v>4900</v>
      </c>
      <c r="B32" s="95">
        <v>0</v>
      </c>
      <c r="C32" s="95">
        <v>1000</v>
      </c>
      <c r="D32" s="99" t="s">
        <v>315</v>
      </c>
      <c r="H32" t="s">
        <v>25</v>
      </c>
    </row>
    <row r="33" spans="1:10">
      <c r="A33" s="99" t="s">
        <v>4903</v>
      </c>
      <c r="B33" s="95">
        <v>0</v>
      </c>
      <c r="C33" s="95">
        <v>1000</v>
      </c>
      <c r="D33" s="99" t="s">
        <v>315</v>
      </c>
      <c r="H33" t="s">
        <v>25</v>
      </c>
    </row>
    <row r="34" spans="1:10">
      <c r="A34" s="99" t="s">
        <v>4905</v>
      </c>
      <c r="B34" s="95">
        <v>0</v>
      </c>
      <c r="C34" s="95">
        <v>1000</v>
      </c>
      <c r="D34" s="99" t="s">
        <v>315</v>
      </c>
    </row>
    <row r="35" spans="1:10">
      <c r="A35" s="99" t="s">
        <v>4906</v>
      </c>
      <c r="B35" s="95">
        <v>0</v>
      </c>
      <c r="C35" s="95">
        <v>1000</v>
      </c>
      <c r="D35" s="99" t="s">
        <v>315</v>
      </c>
      <c r="J35" t="s">
        <v>25</v>
      </c>
    </row>
    <row r="36" spans="1:10">
      <c r="A36" s="99" t="s">
        <v>4911</v>
      </c>
      <c r="B36" s="95">
        <v>1000</v>
      </c>
      <c r="C36" s="95">
        <v>0</v>
      </c>
      <c r="D36" s="99" t="s">
        <v>315</v>
      </c>
    </row>
    <row r="37" spans="1:10">
      <c r="A37" s="99" t="s">
        <v>4911</v>
      </c>
      <c r="B37" s="95">
        <v>0</v>
      </c>
      <c r="C37" s="95">
        <v>11200</v>
      </c>
      <c r="D37" s="99" t="s">
        <v>4719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4740</v>
      </c>
      <c r="B48" s="224">
        <v>6700</v>
      </c>
      <c r="C48" s="224">
        <v>0</v>
      </c>
      <c r="D48" s="23" t="s">
        <v>4743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2019-07-20T10:49:56Z</dcterms:modified>
</cp:coreProperties>
</file>