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N230" i="52" l="1"/>
  <c r="O227" i="52" l="1"/>
  <c r="P195" i="18"/>
  <c r="W349" i="18"/>
  <c r="W348" i="18"/>
  <c r="W347" i="18"/>
  <c r="O223" i="52" l="1"/>
  <c r="W346" i="18"/>
  <c r="J222" i="52" l="1"/>
  <c r="W345" i="18"/>
  <c r="L44" i="18"/>
  <c r="L47"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0" i="18"/>
  <c r="O212" i="52"/>
  <c r="P222" i="52" l="1"/>
  <c r="P227" i="52"/>
  <c r="P223" i="52"/>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9" i="18"/>
  <c r="F348" i="15" l="1"/>
  <c r="D347" i="15"/>
  <c r="I143"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1"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1"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29" i="18"/>
  <c r="J129" i="18" s="1"/>
  <c r="G128" i="18"/>
  <c r="J128" i="18" s="1"/>
  <c r="W316" i="18"/>
  <c r="O190" i="52"/>
  <c r="J190" i="52"/>
  <c r="AM201" i="18" l="1"/>
  <c r="AL200" i="18"/>
  <c r="F320" i="15"/>
  <c r="D319" i="15"/>
  <c r="W315" i="18"/>
  <c r="AB88" i="52"/>
  <c r="AL199" i="18" l="1"/>
  <c r="AM200" i="18"/>
  <c r="F319" i="15"/>
  <c r="D318" i="15"/>
  <c r="AC88" i="52"/>
  <c r="N50" i="18"/>
  <c r="N48"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1" i="18"/>
  <c r="B8" i="36"/>
  <c r="AM192" i="18" l="1"/>
  <c r="AL191" i="18"/>
  <c r="AM191" i="18" s="1"/>
  <c r="F311" i="15"/>
  <c r="D310" i="15"/>
  <c r="O178" i="52"/>
  <c r="J178" i="52"/>
  <c r="F310" i="15" l="1"/>
  <c r="D309" i="15"/>
  <c r="N23" i="18"/>
  <c r="N46"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8" i="18"/>
  <c r="K109"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5" i="18"/>
  <c r="J135" i="18" s="1"/>
  <c r="J137" i="18" s="1"/>
  <c r="I137" i="18" s="1"/>
  <c r="G127" i="18"/>
  <c r="J127" i="18" s="1"/>
  <c r="W294" i="18"/>
  <c r="AL342" i="18" l="1"/>
  <c r="AM343" i="18"/>
  <c r="J131" i="18"/>
  <c r="I131"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4"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300" i="18"/>
  <c r="T367"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0" i="18"/>
  <c r="L107" i="18" s="1"/>
  <c r="N107" i="18" s="1"/>
  <c r="L106" i="18" l="1"/>
  <c r="M110" i="18"/>
  <c r="AM278" i="18"/>
  <c r="AL277" i="18"/>
  <c r="L102" i="18"/>
  <c r="W242" i="18"/>
  <c r="W241"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49"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7" i="18" s="1"/>
  <c r="R211" i="18" l="1"/>
  <c r="S139" i="18"/>
  <c r="S140" i="18" s="1"/>
  <c r="S141" i="18" s="1"/>
  <c r="M102" i="18"/>
  <c r="N102" i="18" s="1"/>
  <c r="N110" i="18" s="1"/>
  <c r="AJ223" i="18"/>
  <c r="AJ224" i="18" s="1"/>
  <c r="G305" i="20"/>
  <c r="I306" i="20"/>
  <c r="K306" i="20"/>
  <c r="J306" i="20"/>
  <c r="AL74" i="18"/>
  <c r="AM75" i="18"/>
  <c r="R224" i="18" l="1"/>
  <c r="T354" i="18" s="1"/>
  <c r="V357"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6" i="18"/>
  <c r="V68" i="18"/>
  <c r="W68" i="18" s="1"/>
  <c r="V67" i="18"/>
  <c r="W67" i="18" s="1"/>
  <c r="V111" i="18"/>
  <c r="W111" i="18" s="1"/>
  <c r="U367" i="18"/>
  <c r="V367"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6" i="18"/>
  <c r="W186"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S183" i="18" s="1"/>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4" i="18" l="1"/>
  <c r="V184" i="18" s="1"/>
  <c r="V183"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W184" i="18"/>
  <c r="X184"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<sst xmlns="http://schemas.openxmlformats.org/spreadsheetml/2006/main" count="12876" uniqueCount="5394">
  <si>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</si>
  <si>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</si>
  <si>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</si>
  <si>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</si>
  <si>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</si>
  <si>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</si>
  <si>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</si>
  <si>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</si>
  <si>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</si>
  <si>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</si>
  <si>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</si>
  <si>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</si>
  <si>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</si>
  <si>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</si>
  <si>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</si>
  <si>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</si>
  <si>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</si>
  <si>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</si>
  <si>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</si>
  <si>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</si>
  <si>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</si>
  <si>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</si>
  <si>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</si>
  <si>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</si>
  <si>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</si>
  <si>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</si>
  <si>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</si>
  <si>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</si>
  <si>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</si>
  <si>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</si>
  <si>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</si>
  <si>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</si>
  <si>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</si>
  <si>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</si>
  <si>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</si>
  <si>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</si>
  <si>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</si>
  <si>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</si>
  <si>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</si>
  <si>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</si>
  <si>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</si>
  <si>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</si>
  <si>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</si>
  <si>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</si>
  <si>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</si>
  <si>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</si>
  <si>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</si>
  <si>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</si>
  <si>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</si>
  <si>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</si>
  <si>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</si>
  <si>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</si>
  <si>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</si>
  <si>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</si>
  <si>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</si>
  <si>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</si>
  <si>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</si>
  <si>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</si>
  <si>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</si>
  <si>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</si>
  <si>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</si>
  <si>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</si>
  <si>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</si>
  <si>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</si>
  <si>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</si>
  <si>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</si>
  <si>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</si>
  <si>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</si>
  <si>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</si>
  <si>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</si>
  <si>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</si>
  <si>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</si>
  <si>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</si>
  <si>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</si>
  <si>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</si>
  <si>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</si>
  <si>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</si>
  <si>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</si>
  <si>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</si>
  <si>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</si>
  <si>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</si>
  <si>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</si>
  <si>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</si>
  <si>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</si>
  <si>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</si>
  <si>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</si>
  <si>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</si>
  <si>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</si>
  <si>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</si>
  <si>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</si>
  <si>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</si>
  <si>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</si>
  <si>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</si>
  <si>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</si>
  <si>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</si>
  <si>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</si>
  <si>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</si>
  <si>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</si>
  <si>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</si>
  <si>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</si>
  <si>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</si>
  <si>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</si>
  <si>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</si>
  <si>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</si>
  <si>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</si>
  <si>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</si>
  <si>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</si>
  <si>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</si>
  <si>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</si>
  <si>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</si>
  <si>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</si>
  <si>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</si>
  <si>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</si>
  <si>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</si>
  <si>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</si>
  <si>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</si>
  <si>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</si>
  <si>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</si>
  <si>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</si>
  <si>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</si>
  <si>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</si>
  <si>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</si>
  <si>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</si>
  <si>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</si>
  <si>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</si>
  <si>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</si>
  <si>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</si>
  <si>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</si>
  <si>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</si>
  <si>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</si>
  <si>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</si>
  <si>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</si>
  <si>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</si>
  <si>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</si>
  <si>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</si>
  <si>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</si>
  <si>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</si>
  <si>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</si>
  <si>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</si>
  <si>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</si>
  <si>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</si>
  <si>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</si>
  <si>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</si>
  <si>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</si>
  <si>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</si>
  <si>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</si>
  <si>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</si>
  <si>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</si>
  <si>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</si>
  <si>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</si>
  <si>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</si>
  <si>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</si>
  <si>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</si>
  <si>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</si>
  <si>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</si>
  <si>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</si>
  <si>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</si>
  <si>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</si>
  <si>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</si>
  <si>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</si>
  <si>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</si>
  <si>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</si>
  <si>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</si>
  <si>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</si>
  <si>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</si>
  <si>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</si>
  <si>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</si>
  <si>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</si>
  <si>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</si>
  <si>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</si>
  <si>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</si>
  <si>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</si>
  <si>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</si>
  <si>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</si>
  <si>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</si>
  <si>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</si>
  <si>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</si>
  <si>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</si>
  <si>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</si>
  <si>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</si>
  <si>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</si>
  <si>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</si>
  <si>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</si>
  <si>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</si>
  <si>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</si>
  <si>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</si>
  <si>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</si>
  <si>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</si>
  <si>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</si>
  <si>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</si>
  <si>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</si>
  <si>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</si>
  <si>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</si>
  <si>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</si>
  <si>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</si>
  <si>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</si>
  <si>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</si>
  <si>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</si>
  <si>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</si>
  <si>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</si>
  <si>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</si>
  <si>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</si>
  <si>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</si>
  <si>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</si>
  <si>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</si>
  <si>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</si>
  <si>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</si>
  <si>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</si>
  <si>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</si>
  <si>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</si>
  <si>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</si>
  <si>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</si>
  <si>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</si>
  <si>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</si>
  <si>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</si>
  <si>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</si>
  <si>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</si>
  <si>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</si>
  <si>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</si>
  <si>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</si>
  <si>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</si>
  <si>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</si>
  <si>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</si>
  <si>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</si>
  <si>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</si>
  <si>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</si>
  <si>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</si>
  <si>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</si>
  <si>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</si>
  <si>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</si>
  <si>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</si>
  <si>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</si>
  <si>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</si>
  <si>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</si>
  <si>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</si>
  <si>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</si>
  <si>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</si>
  <si>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</si>
  <si>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</si>
  <si>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</si>
  <si>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</si>
  <si>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</si>
  <si>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</si>
  <si>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</si>
  <si>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</si>
  <si>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</si>
  <si>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</si>
  <si>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</si>
  <si>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</si>
  <si>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</si>
  <si>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</si>
  <si>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</si>
  <si>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</si>
  <si>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</si>
  <si>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</si>
  <si>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</si>
  <si>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</si>
  <si>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</si>
  <si>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</si>
  <si>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</si>
  <si>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</si>
  <si>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</si>
  <si>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</si>
  <si>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</si>
  <si>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</si>
  <si>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</si>
  <si>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</si>
  <si>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</si>
  <si>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</si>
  <si>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</si>
  <si>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</si>
  <si>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</si>
  <si>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</si>
  <si>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</si>
  <si>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</si>
  <si>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</si>
  <si>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</si>
  <si>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</si>
  <si>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</si>
  <si>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</si>
  <si>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</si>
  <si>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</si>
  <si>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</si>
  <si>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</si>
  <si>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</si>
  <si>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</si>
  <si>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</si>
  <si>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</si>
  <si>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</si>
  <si>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</si>
  <si>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</si>
  <si>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</si>
  <si>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</si>
  <si>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</si>
  <si>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</si>
  <si>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</si>
  <si>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</si>
  <si>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</si>
  <si>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</si>
  <si>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</si>
  <si>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</si>
  <si>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</si>
  <si>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</si>
  <si>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</si>
  <si>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</si>
  <si>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</si>
  <si>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</si>
  <si>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</si>
  <si>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</si>
  <si>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</si>
  <si>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</si>
  <si>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</si>
  <si>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</si>
  <si>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</si>
  <si>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</si>
  <si>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</si>
  <si>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</si>
  <si>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</si>
  <si>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</si>
  <si>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</si>
  <si>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</si>
  <si>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</si>
  <si>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</si>
  <si>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</si>
  <si>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</si>
  <si>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</si>
  <si>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</si>
  <si>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</si>
  <si>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</si>
  <si>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</si>
  <si>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</si>
  <si>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</si>
  <si>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</si>
  <si>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</si>
  <si>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</si>
  <si>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</si>
  <si>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</si>
  <si>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</si>
  <si>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</si>
  <si>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</si>
  <si>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</si>
  <si>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</si>
  <si>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</si>
  <si>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</si>
  <si>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</si>
  <si>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</si>
  <si>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</si>
  <si>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</si>
  <si>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</si>
  <si>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</si>
  <si>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</si>
  <si>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</si>
  <si>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</si>
  <si>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</si>
  <si>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</si>
  <si>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</si>
  <si>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</si>
  <si>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</si>
  <si>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</si>
  <si>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</si>
  <si>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</si>
  <si>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</si>
  <si>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</si>
  <si>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</si>
  <si>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</si>
  <si>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</si>
  <si>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</si>
  <si>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</si>
  <si>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</si>
  <si>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</si>
  <si>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</si>
  <si>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</si>
  <si>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</si>
  <si>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</si>
  <si>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</si>
  <si>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</si>
  <si>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</si>
  <si>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</si>
  <si>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</si>
  <si>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</si>
  <si>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</si>
  <si>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</si>
  <si>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</si>
  <si>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</si>
  <si>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</si>
  <si>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</si>
  <si>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</si>
  <si>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</si>
  <si>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</si>
  <si>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</si>
  <si>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</si>
  <si>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</si>
  <si>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</si>
  <si>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</si>
  <si>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</si>
  <si>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</si>
  <si>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</si>
  <si>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</si>
  <si>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</si>
  <si>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</si>
  <si>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</si>
  <si>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</si>
  <si>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</si>
  <si>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</si>
  <si>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</si>
  <si>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</si>
  <si>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</si>
  <si>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</si>
  <si>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</si>
  <si>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</si>
  <si>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</si>
  <si>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</si>
  <si>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</si>
  <si>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</si>
  <si>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</si>
  <si>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</si>
  <si>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</si>
  <si>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</si>
  <si>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</si>
  <si>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</si>
  <si>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</si>
  <si>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</si>
  <si>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</si>
  <si>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</si>
  <si>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</si>
  <si>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</si>
  <si>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</si>
  <si>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</si>
  <si>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</si>
  <si>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</si>
  <si>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</si>
  <si>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</si>
  <si>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</si>
  <si>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</si>
  <si>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</si>
  <si>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</si>
  <si>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</si>
  <si>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</si>
  <si>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</si>
  <si>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</si>
  <si>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</si>
  <si>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</si>
  <si>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</si>
  <si>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</si>
  <si>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</si>
  <si>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</si>
  <si>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</si>
  <si>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</si>
  <si>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</si>
  <si>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</si>
  <si>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</si>
  <si>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</si>
  <si>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</si>
  <si>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</si>
  <si>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</si>
  <si>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</si>
  <si>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</si>
  <si>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</si>
  <si>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</si>
  <si>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</si>
  <si>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</si>
  <si>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</si>
  <si>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</si>
  <si>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</si>
  <si>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</si>
  <si>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</si>
  <si>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</si>
  <si>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</si>
  <si>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</si>
  <si>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</si>
  <si>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</si>
  <si>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</si>
  <si>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</si>
  <si>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</si>
  <si>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</si>
  <si>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</si>
  <si>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</si>
  <si>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</si>
  <si>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</si>
  <si>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</si>
  <si>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</si>
  <si>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</si>
  <si>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</si>
  <si>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</si>
  <si>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</si>
  <si>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</si>
  <si>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</si>
  <si>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</si>
  <si>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</si>
  <si>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</si>
  <si>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</si>
  <si>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</si>
  <si>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</si>
  <si>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</si>
  <si>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</si>
  <si>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</si>
  <si>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</si>
  <si>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</si>
  <si>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</si>
  <si>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</si>
  <si>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</si>
  <si>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</si>
  <si>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</si>
  <si>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</si>
  <si>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</si>
  <si>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</si>
  <si>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</si>
  <si>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</si>
  <si>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</si>
  <si>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</si>
  <si>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</si>
  <si>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</si>
  <si>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</si>
  <si>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</si>
  <si>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</si>
  <si>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</si>
  <si>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</si>
  <si>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</si>
  <si>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</si>
  <si>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</si>
  <si>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</si>
  <si>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</si>
  <si>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</si>
  <si>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</si>
  <si>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</si>
  <si>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</si>
  <si>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</si>
  <si>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</si>
  <si>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</si>
  <si>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</si>
  <si>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</si>
  <si>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</si>
  <si>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</si>
  <si>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</si>
  <si>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</si>
  <si>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</si>
  <si>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</si>
  <si>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</si>
  <si>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</si>
  <si>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</si>
  <si>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</si>
  <si>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</si>
  <si>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</si>
  <si>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</si>
  <si>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</si>
  <si>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</si>
  <si>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</si>
  <si>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</si>
  <si>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</si>
  <si>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</si>
  <si>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</si>
  <si>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</si>
  <si>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</si>
  <si>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</si>
  <si>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</si>
  <si>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</si>
  <si>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</si>
  <si>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</si>
  <si>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</si>
  <si>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</si>
  <si>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</si>
  <si>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</si>
  <si>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</si>
  <si>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</si>
  <si>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</si>
  <si>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</si>
  <si>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</si>
  <si>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</si>
  <si>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</si>
  <si>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</si>
  <si>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</si>
  <si>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</si>
  <si>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</si>
  <si>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</si>
  <si>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</si>
  <si>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</si>
  <si>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</si>
  <si>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</si>
  <si>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</si>
  <si>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</si>
  <si>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</si>
  <si>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</si>
  <si>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</si>
  <si>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</si>
  <si>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</si>
  <si>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</si>
  <si>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</si>
  <si>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</si>
  <si>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</si>
  <si>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</si>
  <si>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</si>
  <si>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</si>
  <si>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</si>
  <si>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</si>
  <si>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</si>
  <si>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</si>
  <si>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</si>
  <si>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</si>
  <si>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</si>
  <si>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</si>
  <si>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</si>
  <si>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</si>
  <si>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</si>
  <si>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</si>
  <si>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</si>
  <si>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</si>
  <si>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</si>
  <si>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</si>
  <si>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</si>
  <si>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</si>
  <si>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</si>
  <si>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</si>
  <si>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</si>
  <si>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</si>
  <si>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</si>
  <si>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</si>
  <si>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</si>
  <si>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</si>
  <si>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</si>
  <si>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</si>
  <si>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</si>
  <si>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</si>
  <si>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</si>
  <si>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</si>
  <si>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</si>
  <si>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</si>
  <si>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</si>
  <si>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</si>
  <si>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</si>
  <si>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</si>
  <si>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</si>
  <si>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</si>
  <si>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</si>
  <si>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</si>
  <si>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</si>
  <si>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</si>
  <si>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</si>
  <si>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</si>
  <si>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</si>
  <si>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</si>
  <si>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</si>
  <si>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</si>
  <si>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</si>
  <si>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</si>
  <si>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</si>
  <si>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</si>
  <si>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</si>
  <si>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</si>
  <si>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</si>
  <si>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</si>
  <si>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</si>
  <si>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</si>
  <si>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</si>
  <si>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</si>
  <si>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</si>
  <si>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</si>
  <si>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</si>
  <si>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</si>
  <si>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</si>
  <si>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</si>
  <si>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</si>
  <si>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</si>
  <si>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</si>
  <si>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</si>
  <si>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</si>
  <si>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</si>
  <si>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</si>
  <si>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</si>
  <si>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</si>
  <si>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</si>
  <si>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</si>
  <si>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</si>
  <si>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</si>
  <si>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</si>
  <si>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</si>
  <si>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</si>
  <si>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</si>
  <si>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</si>
  <si>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</si>
  <si>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</si>
  <si>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</si>
  <si>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</si>
  <si>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</si>
  <si>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</si>
  <si>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</si>
  <si>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</si>
  <si>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</si>
  <si>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</si>
  <si>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</si>
  <si>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</si>
  <si>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</si>
  <si>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</si>
  <si>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</si>
  <si>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</si>
  <si>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</si>
  <si>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</si>
  <si>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</si>
  <si>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</si>
  <si>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</si>
  <si>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</si>
  <si>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</si>
  <si>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</si>
  <si>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</si>
  <si>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</si>
  <si>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</si>
  <si>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</si>
  <si>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</si>
  <si>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</si>
  <si>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</si>
  <si>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</si>
  <si>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</si>
  <si>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</si>
  <si>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</si>
  <si>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</si>
  <si>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</si>
  <si>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</si>
  <si>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</si>
  <si>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</si>
  <si>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</si>
  <si>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</si>
  <si>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</si>
  <si>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</si>
  <si>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</si>
  <si>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</si>
  <si>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</si>
  <si>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</si>
  <si>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</si>
  <si>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</si>
  <si>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</si>
  <si>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</si>
  <si>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</si>
  <si>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</si>
  <si>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</si>
  <si>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</si>
  <si>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</si>
  <si>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</si>
  <si>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</si>
  <si>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</si>
  <si>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</si>
  <si>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</si>
  <si>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</si>
  <si>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</si>
  <si>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</si>
  <si>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</si>
  <si>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</si>
  <si>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</si>
  <si>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</si>
  <si>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</si>
  <si>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</si>
  <si>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</si>
  <si>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</si>
  <si>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</si>
  <si>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</si>
  <si>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</si>
  <si>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</si>
  <si>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</si>
  <si>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</si>
  <si>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</si>
  <si>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</si>
  <si>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</si>
  <si>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</si>
  <si>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</si>
  <si>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</si>
  <si>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</si>
  <si>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</si>
  <si>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</si>
  <si>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</si>
  <si>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</si>
  <si>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</si>
  <si>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</si>
  <si>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</si>
  <si>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</si>
  <si>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</si>
  <si>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</si>
  <si>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</si>
  <si>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</si>
  <si>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</si>
  <si>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</si>
  <si>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</si>
  <si>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</si>
  <si>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</si>
  <si>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</si>
  <si>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</si>
  <si>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</si>
  <si>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</si>
  <si>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</si>
  <si>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</si>
  <si>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</si>
  <si>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</si>
  <si>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</si>
  <si>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</si>
  <si>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</si>
  <si>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</si>
  <si>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</si>
  <si>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</si>
  <si>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</si>
  <si>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</si>
  <si>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</si>
  <si>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</si>
  <si>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</si>
  <si>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</si>
  <si>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</si>
  <si>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</si>
  <si>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</si>
  <si>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</si>
  <si>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</si>
  <si>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</si>
  <si>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</si>
  <si>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</si>
  <si>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</si>
  <si>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</si>
  <si>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</si>
  <si>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</si>
  <si>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</si>
  <si>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</si>
  <si>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</si>
  <si>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</si>
  <si>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</si>
  <si>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</si>
  <si>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</si>
  <si>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</si>
  <si>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</si>
  <si>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</si>
  <si>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</si>
  <si>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</si>
  <si>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</si>
  <si>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</si>
  <si>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</si>
  <si>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</si>
  <si>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</si>
  <si>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</si>
  <si>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</si>
  <si>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</si>
  <si>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</si>
  <si>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</si>
  <si>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</si>
  <si>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</si>
  <si>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</si>
  <si>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</si>
  <si>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</si>
  <si>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</si>
  <si>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</si>
  <si>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</si>
  <si>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</si>
  <si>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</si>
  <si>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</si>
  <si>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</si>
  <si>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</si>
  <si>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</si>
  <si>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</si>
  <si>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</si>
  <si>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</si>
  <si>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</si>
  <si>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</si>
  <si>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</si>
  <si>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</si>
  <si>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</si>
  <si>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</si>
  <si>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</si>
  <si>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</si>
  <si>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</si>
  <si>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</si>
  <si>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</si>
  <si>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</si>
  <si>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</si>
  <si>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</si>
  <si>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</si>
  <si>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</si>
  <si>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</si>
  <si>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</si>
  <si>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</si>
  <si>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</si>
  <si>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</si>
  <si>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</si>
  <si>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</si>
  <si>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</si>
  <si>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</si>
  <si>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</si>
  <si>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</si>
  <si>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</si>
  <si>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</si>
  <si>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</si>
  <si>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</si>
  <si>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</si>
  <si>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</si>
  <si>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</si>
  <si>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</si>
  <si>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</si>
  <si>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</si>
  <si>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</si>
  <si>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</si>
  <si>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</si>
  <si>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</si>
  <si>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</si>
  <si>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</si>
  <si>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</si>
  <si>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</si>
  <si>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</si>
  <si>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</si>
  <si>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</si>
  <si>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</si>
  <si>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</si>
  <si>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</si>
  <si>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</si>
  <si>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</si>
  <si>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</si>
  <si>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</si>
  <si>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</si>
  <si>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</si>
  <si>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</si>
  <si>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</si>
  <si>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</si>
  <si>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</si>
  <si>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</si>
  <si>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</si>
  <si>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</si>
  <si>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</si>
  <si>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</si>
  <si>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</si>
  <si>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</si>
  <si>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</si>
  <si>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</si>
  <si>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</si>
  <si>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</si>
  <si>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</si>
  <si>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</si>
  <si>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</si>
  <si>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</si>
  <si>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</si>
  <si>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</si>
  <si>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</si>
  <si>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</si>
  <si>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</si>
  <si>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</si>
  <si>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</si>
  <si>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</si>
  <si>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</si>
  <si>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</si>
  <si>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</si>
  <si>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</si>
  <si>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</si>
  <si>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</si>
  <si>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</si>
  <si>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</si>
  <si>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</si>
  <si>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</si>
  <si>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</si>
  <si>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</si>
  <si>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</si>
  <si>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</si>
  <si>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</si>
  <si>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</si>
  <si>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</si>
  <si>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</si>
  <si>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</si>
  <si>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</si>
  <si>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</si>
  <si>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</si>
  <si>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</si>
  <si>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</si>
  <si>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</si>
  <si>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</si>
  <si>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</si>
  <si>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</si>
  <si>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</si>
  <si>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</si>
  <si>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</si>
  <si>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</si>
  <si>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</si>
  <si>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</si>
  <si>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</si>
  <si>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</si>
  <si>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</si>
  <si>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</si>
  <si>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</si>
  <si>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</si>
  <si>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</si>
  <si>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</si>
  <si>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</si>
  <si>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</si>
  <si>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</si>
  <si>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</si>
  <si>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</si>
  <si>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</si>
  <si>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</si>
  <si>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</si>
  <si>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</si>
  <si>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</si>
  <si>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</si>
  <si>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</si>
  <si>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</si>
  <si>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</si>
  <si>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</si>
  <si>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</si>
  <si>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</si>
  <si>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</si>
  <si>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</si>
  <si>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</si>
  <si>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</si>
  <si>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</si>
  <si>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</si>
  <si>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</si>
  <si>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</si>
  <si>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</si>
  <si>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</si>
  <si>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</si>
  <si>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</si>
  <si>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</si>
  <si>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</si>
  <si>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</si>
  <si>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</si>
  <si>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</si>
  <si>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</si>
  <si>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</si>
  <si>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</si>
  <si>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</si>
  <si>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</si>
  <si>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</si>
  <si>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</si>
  <si>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</si>
  <si>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</si>
  <si>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</si>
  <si>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</si>
  <si>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</si>
  <si>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</si>
  <si>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</si>
  <si>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</si>
  <si>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</si>
  <si>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</si>
  <si>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</si>
  <si>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</si>
  <si>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</si>
  <si>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</si>
  <si>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</si>
  <si>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</si>
  <si>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</si>
  <si>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</si>
  <si>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</si>
  <si>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</si>
  <si>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</si>
  <si>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</si>
  <si>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</si>
  <si>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</si>
  <si>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</si>
  <si>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</si>
  <si>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</si>
  <si>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</si>
  <si>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</si>
  <si>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</si>
  <si>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</si>
  <si>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</si>
  <si>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</si>
  <si>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</si>
  <si>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</si>
  <si>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</si>
  <si>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</si>
  <si>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</si>
  <si>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</si>
  <si>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</si>
  <si>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</si>
  <si>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</si>
  <si>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</si>
  <si>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</si>
  <si>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</si>
  <si>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</si>
  <si>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</si>
  <si>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</si>
  <si>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</si>
  <si>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</si>
  <si>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</si>
  <si>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</si>
  <si>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</si>
  <si>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</si>
  <si>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</si>
  <si>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</si>
  <si>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</si>
  <si>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</si>
  <si>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</si>
  <si>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</si>
  <si>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</si>
  <si>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</si>
  <si>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</si>
  <si>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</si>
  <si>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</si>
  <si>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</si>
  <si>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</si>
  <si>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</si>
  <si>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</si>
  <si>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</si>
  <si>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</si>
  <si>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</si>
  <si>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</si>
  <si>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</si>
  <si>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</si>
  <si>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</si>
  <si>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</si>
  <si>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</si>
  <si>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</si>
  <si>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</si>
  <si>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</si>
  <si>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</si>
  <si>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</si>
  <si>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</si>
  <si>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</si>
  <si>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</si>
  <si>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</si>
  <si>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</si>
  <si>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</si>
  <si>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</si>
  <si>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</si>
  <si>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</si>
  <si>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</si>
  <si>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</si>
  <si>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</si>
  <si>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</si>
  <si>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</si>
  <si>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</si>
  <si>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</si>
  <si>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</si>
  <si>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</si>
  <si>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</si>
  <si>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</si>
  <si>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</si>
  <si>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</si>
  <si>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</si>
  <si>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</si>
  <si>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</si>
  <si>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</si>
  <si>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</si>
  <si>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</si>
  <si>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</si>
  <si>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</si>
  <si>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</si>
  <si>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</si>
  <si>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</si>
  <si>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</si>
  <si>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</si>
  <si>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</si>
  <si>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</si>
  <si>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</si>
  <si>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</si>
  <si>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</si>
  <si>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</si>
  <si>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</si>
  <si>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</si>
  <si>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</si>
  <si>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</si>
  <si>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</si>
  <si>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</si>
  <si>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</si>
  <si>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</si>
  <si>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</si>
  <si>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</si>
  <si>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</si>
  <si>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</si>
  <si>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</si>
  <si>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</si>
  <si>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</si>
  <si>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</si>
  <si>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</si>
  <si>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</si>
  <si>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</si>
  <si>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</si>
  <si>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</si>
  <si>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</si>
  <si>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</si>
  <si>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</si>
  <si>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</si>
  <si>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</si>
  <si>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</si>
  <si>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</si>
  <si>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</si>
  <si>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</si>
  <si>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</si>
  <si>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</si>
  <si>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</si>
  <si>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</si>
  <si>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</si>
  <si>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</si>
  <si>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</si>
  <si>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</si>
  <si>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</si>
  <si>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</si>
  <si>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</si>
  <si>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</si>
  <si>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</si>
  <si>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</si>
  <si>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</si>
  <si>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</si>
  <si>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</si>
  <si>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</si>
  <si>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</si>
  <si>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</si>
  <si>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</si>
  <si>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</si>
  <si>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</si>
  <si>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</si>
  <si>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</si>
  <si>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</si>
  <si>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</si>
  <si>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</si>
  <si>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</si>
  <si>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</si>
  <si>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</si>
  <si>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</si>
  <si>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</si>
  <si>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</si>
  <si>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</si>
  <si>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</si>
  <si>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</si>
  <si>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</si>
  <si>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</si>
  <si>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</si>
  <si>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</si>
  <si>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</si>
  <si>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</si>
  <si>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</si>
  <si>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</si>
  <si>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</si>
  <si>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</si>
  <si>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</si>
  <si>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</si>
  <si>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</si>
  <si>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</si>
  <si>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</si>
  <si>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</si>
  <si>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</si>
  <si>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</si>
  <si>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</si>
  <si>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</si>
  <si>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</si>
  <si>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</si>
  <si>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</si>
  <si>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</si>
  <si>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</si>
  <si>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</si>
  <si>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</si>
  <si>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</si>
  <si>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</si>
  <si>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</si>
  <si>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</si>
  <si>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</si>
  <si>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</si>
  <si>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</si>
  <si>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</si>
  <si>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</si>
  <si>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</si>
  <si>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</si>
  <si>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</si>
  <si>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</si>
  <si>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</si>
  <si>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</si>
  <si>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</si>
  <si>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</si>
  <si>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</si>
  <si>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</si>
  <si>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</si>
  <si>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</si>
  <si>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</si>
  <si>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</si>
  <si>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</si>
  <si>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</si>
  <si>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</si>
  <si>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</si>
  <si>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</si>
  <si>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</si>
  <si>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</si>
  <si>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</si>
  <si>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</si>
  <si>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</si>
  <si>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</si>
  <si>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</si>
  <si>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</si>
  <si>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</si>
  <si>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</si>
  <si>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</si>
  <si>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</si>
  <si>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</si>
  <si>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</si>
  <si>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</si>
  <si>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</si>
  <si>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</si>
  <si>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</si>
  <si>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</si>
  <si>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</si>
  <si>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</si>
  <si>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</si>
  <si>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</si>
  <si>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</si>
  <si>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</si>
  <si>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</si>
  <si>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</si>
  <si>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</si>
  <si>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</si>
  <si>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</si>
  <si>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</si>
  <si>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</si>
  <si>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</si>
  <si>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</si>
  <si>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</si>
  <si>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</si>
  <si>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</si>
  <si>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</si>
  <si>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</si>
  <si>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</si>
  <si>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</si>
  <si>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</si>
  <si>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</si>
  <si>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</si>
  <si>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</si>
  <si>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</si>
  <si>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</si>
  <si>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</si>
  <si>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</si>
  <si>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</si>
  <si>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</si>
  <si>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</si>
  <si>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</si>
  <si>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</si>
  <si>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</si>
  <si>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</si>
  <si>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</si>
  <si>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</si>
  <si>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</si>
  <si>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</si>
  <si>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</si>
  <si>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</si>
  <si>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</si>
  <si>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</si>
  <si>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</si>
  <si>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</si>
  <si>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</si>
  <si>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</si>
  <si>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</si>
  <si>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</si>
  <si>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</si>
  <si>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</si>
  <si>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</si>
  <si>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</si>
  <si>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</si>
  <si>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</si>
  <si>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</si>
  <si>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</si>
  <si>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</si>
  <si>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</si>
  <si>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</si>
  <si>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</si>
  <si>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</si>
  <si>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</si>
  <si>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</si>
  <si>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</si>
  <si>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</si>
  <si>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</si>
  <si>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</si>
  <si>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</si>
  <si>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</si>
  <si>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</si>
  <si>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</si>
  <si>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</si>
  <si>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</si>
  <si>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</si>
  <si>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</si>
  <si>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</si>
  <si>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</si>
  <si>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</si>
  <si>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</si>
  <si>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</si>
  <si>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</si>
  <si>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</si>
  <si>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</si>
  <si>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</si>
  <si>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</si>
  <si>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</si>
  <si>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</si>
  <si>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</si>
  <si>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</si>
  <si>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</si>
  <si>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</si>
  <si>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</si>
  <si>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</si>
  <si>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</si>
  <si>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</si>
  <si>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</si>
  <si>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</si>
  <si>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</si>
  <si>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</si>
  <si>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</si>
  <si>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</si>
  <si>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</si>
  <si>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</si>
  <si>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</si>
  <si>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</si>
  <si>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</si>
  <si>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</si>
  <si>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</si>
  <si>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</si>
  <si>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</si>
  <si>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</si>
  <si>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</si>
  <si>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</si>
  <si>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</si>
  <si>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</si>
  <si>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</si>
  <si>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</si>
  <si>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</si>
  <si>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</si>
  <si>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</si>
  <si>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</si>
  <si>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</si>
  <si>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</si>
  <si>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</si>
  <si>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</si>
  <si>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</si>
  <si>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</si>
  <si>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</si>
  <si>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</si>
  <si>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</si>
  <si>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</si>
  <si>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</si>
  <si>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</si>
  <si>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</si>
  <si>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</si>
  <si>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</si>
  <si>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</si>
  <si>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</si>
  <si>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</si>
  <si>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</si>
  <si>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</si>
  <si>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</si>
  <si>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</si>
  <si>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</si>
  <si>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</si>
  <si>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</si>
  <si>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</si>
  <si>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</si>
  <si>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</si>
  <si>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</si>
  <si>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</si>
  <si>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</si>
  <si>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</si>
  <si>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</si>
  <si>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</si>
  <si>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</si>
  <si>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</si>
  <si>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</si>
  <si>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</si>
  <si>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</si>
  <si>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</si>
  <si>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</si>
  <si>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</si>
  <si>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</si>
  <si>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</si>
  <si>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</si>
  <si>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</si>
  <si>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</si>
  <si>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</si>
  <si>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</si>
  <si>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</si>
  <si>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</si>
  <si>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</si>
  <si>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</si>
  <si>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</si>
  <si>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</si>
  <si>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</si>
  <si>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</si>
  <si>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</si>
  <si>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</si>
  <si>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</si>
  <si>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</si>
  <si>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</si>
  <si>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</si>
  <si>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</si>
  <si>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</si>
  <si>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</si>
  <si>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</si>
  <si>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</si>
  <si>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</si>
  <si>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</si>
  <si>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</si>
  <si>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</si>
  <si>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</si>
  <si>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</si>
  <si>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</si>
  <si>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</si>
  <si>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</si>
  <si>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</si>
  <si>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</si>
  <si>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</si>
  <si>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</si>
  <si>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</si>
  <si>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</si>
  <si>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</si>
  <si>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</si>
  <si>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</si>
  <si>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</si>
  <si>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</si>
  <si>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</si>
  <si>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</si>
  <si>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</si>
  <si>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</si>
  <si>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</si>
  <si>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</si>
  <si>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</si>
  <si>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</si>
  <si>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</si>
  <si>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</si>
  <si>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</si>
  <si>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</si>
  <si>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</si>
  <si>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</si>
  <si>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</si>
  <si>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</si>
  <si>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</si>
  <si>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</si>
  <si>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</si>
  <si>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</si>
  <si>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</si>
  <si>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</si>
  <si>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</si>
  <si>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</si>
  <si>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</si>
  <si>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</si>
  <si>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</si>
  <si>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</si>
  <si>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</si>
  <si>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</si>
  <si>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</si>
  <si>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</si>
  <si>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</si>
  <si>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</si>
  <si>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</si>
  <si>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</si>
  <si>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</si>
  <si>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</si>
  <si>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</si>
  <si>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</si>
  <si>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</si>
  <si>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</si>
  <si>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</si>
  <si>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</si>
  <si>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</si>
  <si>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</si>
  <si>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</si>
  <si>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</si>
  <si>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</si>
  <si>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</si>
  <si>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</si>
  <si>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</si>
  <si>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</si>
  <si>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</si>
  <si>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</si>
  <si>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</si>
  <si>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</si>
  <si>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</si>
  <si>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</si>
  <si>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</si>
  <si>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</si>
  <si>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</si>
  <si>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</si>
  <si>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</si>
  <si>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</si>
  <si>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</si>
  <si>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</si>
  <si>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</si>
  <si>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</si>
  <si>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</si>
  <si>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</si>
  <si>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</si>
  <si>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</si>
  <si>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</si>
  <si>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</si>
  <si>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</si>
  <si>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</si>
  <si>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</si>
  <si>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</si>
  <si>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</si>
  <si>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</si>
  <si>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</si>
  <si>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</si>
  <si>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</si>
  <si>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</si>
  <si>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</si>
  <si>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</si>
  <si>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</si>
  <si>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</si>
  <si>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</si>
  <si>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</si>
  <si>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</si>
  <si>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</si>
  <si>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</si>
  <si>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</si>
  <si>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</si>
  <si>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</si>
  <si>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</si>
  <si>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</si>
  <si>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</si>
  <si>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</si>
  <si>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</si>
  <si>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</si>
  <si>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</si>
  <si>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</si>
  <si>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</si>
  <si>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</si>
  <si>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</si>
  <si>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</si>
  <si>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</si>
  <si>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</si>
  <si>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</si>
  <si>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</si>
  <si>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</si>
  <si>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</si>
  <si>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</si>
  <si>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</si>
  <si>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</si>
  <si>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</si>
  <si>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</si>
  <si>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</si>
  <si>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</si>
  <si>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</si>
  <si>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</si>
  <si>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</si>
  <si>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</si>
  <si>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</si>
  <si>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</si>
  <si>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</si>
  <si>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</si>
  <si>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</si>
  <si>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</si>
  <si>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</si>
  <si>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</si>
  <si>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</si>
  <si>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</si>
  <si>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</si>
  <si>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</si>
  <si>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</si>
  <si>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</si>
  <si>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</si>
  <si>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</si>
  <si>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</si>
  <si>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</si>
  <si>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</si>
  <si>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</si>
  <si>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</si>
  <si>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</si>
  <si>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</si>
  <si>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</si>
  <si>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</si>
  <si>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</si>
  <si>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</si>
  <si>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</si>
  <si>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</si>
  <si>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</si>
  <si>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</si>
  <si>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</si>
  <si>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</si>
  <si>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</si>
  <si>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</si>
  <si>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</si>
  <si>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</si>
  <si>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</si>
  <si>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</si>
  <si>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</si>
  <si>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</si>
  <si>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</si>
  <si>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</si>
  <si>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</si>
  <si>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</si>
  <si>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</si>
  <si>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</si>
  <si>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</si>
  <si>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</si>
  <si>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</si>
  <si>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</si>
  <si>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</si>
  <si>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</si>
  <si>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</si>
  <si>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</si>
  <si>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</si>
  <si>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</si>
  <si>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</si>
  <si>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</si>
  <si>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</si>
  <si>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</si>
  <si>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</si>
  <si>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</si>
  <si>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</si>
  <si>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</si>
  <si>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</si>
  <si>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</si>
  <si>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</si>
  <si>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</si>
  <si>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</si>
  <si>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</si>
  <si>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</si>
  <si>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</si>
  <si>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</si>
  <si>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</si>
  <si>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</si>
  <si>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</si>
  <si>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</si>
  <si>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</si>
  <si>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</si>
  <si>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</si>
  <si>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</si>
  <si>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</si>
  <si>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</si>
  <si>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</si>
  <si>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</si>
  <si>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</si>
  <si>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</si>
  <si>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</si>
  <si>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</si>
  <si>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</si>
  <si>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</si>
  <si>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</si>
  <si>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</si>
  <si>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</si>
  <si>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</si>
  <si>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</si>
  <si>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</si>
  <si>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</si>
  <si>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</si>
  <si>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</si>
  <si>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</si>
  <si>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</si>
  <si>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</si>
  <si>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</si>
  <si>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</si>
  <si>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</si>
  <si>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</si>
  <si>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</si>
  <si>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</si>
  <si>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</si>
  <si>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</si>
  <si>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</si>
  <si>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</si>
  <si>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</si>
  <si>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</si>
  <si>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</si>
  <si>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</si>
  <si>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</si>
  <si>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</si>
  <si>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</si>
  <si>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</si>
  <si>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</si>
  <si>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</si>
  <si>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</si>
  <si>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</si>
  <si>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</si>
  <si>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</si>
  <si>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</si>
  <si>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</si>
  <si>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</si>
  <si>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</si>
  <si>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</si>
  <si>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</si>
  <si>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</si>
  <si>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</si>
  <si>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</si>
  <si>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</si>
  <si>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</si>
  <si>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</si>
  <si>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</si>
  <si>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</si>
  <si>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</si>
  <si>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</si>
  <si>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</si>
  <si>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</si>
  <si>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</si>
  <si>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</si>
  <si>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</si>
  <si>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</si>
  <si>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</si>
  <si>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</si>
  <si>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</si>
  <si>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</si>
  <si>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</si>
  <si>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</si>
  <si>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</si>
  <si>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</si>
  <si>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</si>
  <si>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</si>
  <si>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</si>
  <si>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</si>
  <si>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</si>
  <si>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</si>
  <si>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</si>
  <si>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</si>
  <si>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</si>
  <si>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</si>
  <si>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</si>
  <si>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</si>
  <si>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</si>
  <si>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</si>
  <si>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</si>
  <si>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</si>
  <si>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</si>
  <si>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</si>
  <si>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</si>
  <si>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</si>
  <si>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</si>
  <si>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</si>
  <si>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</si>
  <si>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</si>
  <si>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</si>
  <si>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</si>
  <si>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</si>
  <si>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</si>
  <si>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</si>
  <si>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</si>
  <si>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</si>
  <si>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</si>
  <si>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</si>
  <si>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</si>
  <si>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</si>
  <si>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</si>
  <si>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</si>
  <si>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</si>
  <si>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</si>
  <si>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</si>
  <si>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</si>
  <si>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</si>
  <si>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</si>
  <si>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</si>
  <si>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</si>
  <si>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</si>
  <si>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</si>
  <si>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</si>
  <si>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</si>
  <si>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</si>
  <si>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</si>
  <si>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</si>
  <si>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</si>
  <si>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</si>
  <si>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</si>
  <si>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</si>
  <si>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</si>
  <si>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</si>
  <si>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</si>
  <si>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</si>
  <si>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</si>
  <si>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</si>
  <si>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</si>
  <si>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</si>
  <si>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</si>
  <si>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</si>
  <si>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</si>
  <si>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</si>
  <si>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</si>
  <si>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</si>
  <si>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</si>
  <si>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</si>
  <si>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</si>
  <si>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</si>
  <si>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</si>
  <si>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</si>
  <si>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</si>
  <si>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</si>
  <si>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</si>
  <si>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</si>
  <si>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</si>
  <si>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</si>
  <si>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</si>
  <si>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</si>
  <si>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</si>
  <si>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</si>
  <si>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</si>
  <si>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</si>
  <si>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</si>
  <si>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</si>
  <si>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</si>
  <si>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</si>
  <si>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</si>
  <si>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</si>
  <si>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</si>
  <si>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</si>
  <si>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</si>
  <si>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</si>
  <si>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</si>
  <si>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</si>
  <si>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</si>
  <si>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</si>
  <si>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</si>
  <si>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</si>
  <si>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</si>
  <si>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</si>
  <si>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</si>
  <si>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</si>
  <si>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</si>
  <si>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</si>
  <si>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</si>
  <si>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</si>
  <si>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</si>
  <si>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</si>
  <si>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</si>
  <si>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</si>
  <si>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</si>
  <si>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</si>
  <si>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</si>
  <si>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</si>
  <si>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</si>
  <si>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</si>
  <si>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</si>
  <si>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</si>
  <si>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</si>
  <si>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</si>
  <si>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</si>
  <si>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</si>
  <si>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</si>
  <si>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</si>
  <si>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</si>
  <si>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</si>
  <si>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</si>
  <si>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</si>
  <si>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</si>
  <si>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</si>
  <si>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</si>
  <si>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</si>
  <si>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</si>
  <si>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</si>
  <si>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</si>
  <si>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</si>
  <si>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</si>
  <si>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</si>
  <si>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</si>
  <si>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</si>
  <si>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</si>
  <si>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</si>
  <si>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</si>
  <si>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</si>
  <si>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</si>
  <si>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</si>
  <si>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</si>
  <si>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</si>
  <si>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</si>
  <si>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</si>
  <si>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</si>
  <si>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</si>
  <si>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</si>
  <si>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</si>
  <si>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</si>
  <si>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</si>
  <si>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</si>
  <si>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</si>
  <si>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</si>
  <si>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</si>
  <si>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</si>
  <si>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</si>
  <si>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</si>
  <si>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</si>
  <si>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</si>
  <si>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</si>
  <si>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</si>
  <si>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</si>
  <si>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</si>
  <si>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</si>
  <si>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</si>
  <si>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</si>
  <si>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</si>
  <si>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</si>
  <si>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</si>
  <si>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</si>
  <si>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</si>
  <si>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</si>
  <si>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</si>
  <si>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</si>
  <si>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</si>
  <si>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</si>
  <si>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</si>
  <si>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</si>
  <si>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</si>
  <si>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</si>
  <si>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</si>
  <si>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</si>
  <si>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</si>
  <si>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</si>
  <si>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</si>
  <si>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</si>
  <si>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</si>
  <si>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</si>
  <si>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</si>
  <si>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</si>
  <si>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</si>
  <si>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</si>
  <si>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</si>
  <si>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</si>
  <si>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</si>
  <si>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</si>
  <si>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</si>
  <si>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</si>
  <si>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</si>
  <si>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</si>
  <si>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</si>
  <si>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</si>
  <si>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</si>
  <si>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</si>
  <si>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</si>
  <si>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</si>
  <si>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</si>
  <si>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</si>
  <si>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</si>
  <si>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</si>
  <si>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</si>
  <si>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</si>
  <si>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</si>
  <si>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</si>
  <si>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</si>
  <si>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</si>
  <si>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</si>
  <si>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</si>
  <si>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</si>
  <si>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</si>
  <si>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</si>
  <si>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</si>
  <si>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</si>
  <si>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</si>
  <si>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</si>
  <si>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</si>
  <si>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</si>
  <si>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</si>
  <si>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</si>
  <si>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</si>
  <si>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</si>
  <si>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</si>
  <si>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</si>
  <si>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</si>
  <si>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</si>
  <si>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</si>
  <si>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</si>
  <si>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</si>
  <si>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</si>
  <si>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</si>
  <si>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</si>
  <si>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</si>
  <si>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</si>
  <si>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</si>
  <si>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</si>
  <si>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</si>
  <si>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</si>
  <si>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</si>
  <si>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</si>
  <si>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</si>
  <si>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</si>
  <si>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</si>
  <si>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</si>
  <si>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</si>
  <si>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</si>
  <si>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</si>
  <si>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</si>
  <si>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</si>
  <si>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</si>
  <si>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</si>
  <si>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</si>
  <si>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</si>
  <si>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</si>
  <si>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</si>
  <si>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</si>
  <si>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</si>
  <si>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</si>
  <si>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</si>
  <si>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</si>
  <si>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</si>
  <si>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</si>
  <si>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</si>
  <si>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</si>
  <si>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</si>
  <si>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</si>
  <si>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</si>
  <si>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</si>
  <si>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</si>
  <si>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</si>
  <si>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</si>
  <si>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</si>
  <si>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</si>
  <si>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</si>
  <si>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</si>
  <si>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</si>
  <si>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</si>
  <si>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</si>
  <si>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</si>
  <si>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</si>
  <si>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</si>
  <si>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</si>
  <si>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</si>
  <si>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</si>
  <si>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</si>
  <si>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</si>
  <si>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</si>
  <si>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</si>
  <si>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</si>
  <si>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</si>
  <si>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</si>
  <si>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</si>
  <si>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</si>
  <si>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</si>
  <si>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</si>
  <si>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</si>
  <si>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</si>
  <si>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</si>
  <si>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</si>
  <si>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</si>
  <si>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</si>
  <si>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</si>
  <si>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</si>
  <si>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</si>
  <si>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</si>
  <si>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</si>
  <si>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</si>
  <si>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</si>
  <si>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</si>
  <si>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</si>
  <si>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</si>
  <si>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</si>
  <si>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</si>
  <si>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</si>
  <si>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</si>
  <si>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</si>
  <si>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</si>
  <si>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</si>
  <si>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</si>
  <si>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</si>
  <si>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</si>
  <si>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</si>
  <si>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</si>
  <si>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</si>
  <si>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</si>
  <si>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</si>
  <si>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</si>
  <si>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</si>
  <si>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</si>
  <si>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</si>
  <si>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</si>
  <si>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</si>
  <si>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</si>
  <si>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</si>
  <si>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</si>
  <si>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</si>
  <si>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</si>
  <si>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</si>
  <si>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</si>
  <si>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</si>
  <si>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</si>
  <si>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</si>
  <si>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</si>
  <si>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</si>
  <si>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</si>
  <si>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</si>
  <si>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</si>
  <si>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</si>
  <si>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</si>
  <si>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</si>
  <si>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</si>
  <si>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</si>
  <si>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</si>
  <si>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</si>
  <si>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</si>
  <si>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</si>
  <si>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</si>
  <si>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</si>
  <si>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</si>
  <si>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</si>
  <si>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</si>
  <si>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</si>
  <si>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</si>
  <si>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</si>
  <si>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</si>
  <si>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</si>
  <si>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</si>
  <si>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</si>
  <si>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</si>
  <si>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</si>
  <si>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</si>
  <si>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</si>
  <si>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</si>
  <si>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</si>
  <si>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</si>
  <si>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</si>
  <si>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</si>
  <si>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</si>
  <si>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</si>
  <si>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</si>
  <si>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</si>
  <si>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</si>
  <si>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</si>
  <si>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</si>
  <si>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</si>
  <si>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</si>
  <si>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</si>
  <si>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</si>
  <si>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</si>
  <si>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</si>
  <si>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</si>
  <si>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</si>
  <si>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</si>
  <si>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</si>
  <si>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</si>
  <si>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</si>
  <si>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</si>
  <si>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</si>
  <si>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</si>
  <si>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</si>
  <si>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</si>
  <si>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</si>
  <si>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</si>
  <si>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</si>
  <si>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</si>
  <si>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</si>
  <si>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</si>
  <si>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</si>
  <si>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</si>
  <si>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</si>
  <si>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</si>
  <si>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</si>
  <si>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</si>
  <si>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</si>
  <si>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</si>
  <si>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</si>
  <si>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</si>
  <si>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</si>
  <si>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</si>
  <si>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</si>
  <si>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</si>
  <si>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</si>
  <si>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</si>
  <si>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</si>
  <si>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</si>
  <si>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</si>
  <si>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</si>
  <si>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</si>
  <si>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</si>
  <si>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</si>
  <si>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</si>
  <si>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</si>
  <si>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</si>
  <si>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</si>
  <si>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</si>
  <si>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</si>
  <si>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</si>
  <si>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</si>
  <si>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</si>
  <si>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</si>
  <si>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</si>
  <si>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</si>
  <si>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</si>
  <si>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</si>
  <si>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</si>
  <si>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</si>
  <si>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</si>
  <si>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</si>
  <si>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</si>
  <si>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</si>
  <si>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</si>
  <si>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</si>
  <si>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</si>
  <si>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</si>
  <si>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</si>
  <si>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</si>
  <si>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</si>
  <si>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</si>
  <si>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</si>
  <si>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</si>
  <si>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</si>
  <si>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</si>
  <si>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</si>
  <si>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</si>
  <si>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</si>
  <si>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</si>
  <si>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</si>
  <si>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</si>
  <si>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</si>
  <si>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</si>
  <si>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</si>
  <si>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</si>
  <si>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</si>
  <si>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</si>
  <si>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</si>
  <si>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</si>
  <si>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</si>
  <si>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</si>
  <si>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</si>
  <si>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</si>
  <si>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</si>
  <si>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</si>
  <si>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</si>
  <si>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</si>
  <si>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</si>
  <si>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</si>
  <si>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</si>
  <si>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</si>
  <si>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</si>
  <si>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</si>
  <si>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</si>
  <si>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</si>
  <si>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</si>
  <si>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</si>
  <si>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</si>
  <si>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</si>
  <si>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</si>
  <si>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</si>
  <si>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</si>
  <si>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</si>
  <si>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</si>
  <si>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</si>
  <si>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</si>
  <si>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</si>
  <si>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</si>
  <si>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</si>
  <si>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</si>
  <si>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</si>
  <si>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</si>
  <si>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</si>
  <si>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</si>
  <si>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</si>
  <si>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</si>
  <si>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</si>
  <si>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</si>
  <si>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</si>
  <si>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</si>
  <si>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</si>
  <si>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</si>
  <si>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</si>
  <si>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</si>
  <si>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</si>
  <si>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</si>
  <si>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</si>
  <si>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</si>
  <si>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</si>
  <si>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</si>
  <si>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</si>
  <si>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</si>
  <si>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</si>
  <si>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</si>
  <si>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</si>
  <si>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</si>
  <si>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</si>
  <si>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</si>
  <si>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</si>
  <si>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</si>
  <si>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</si>
  <si>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</si>
  <si>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</si>
  <si>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</si>
  <si>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</si>
  <si>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</si>
  <si>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</si>
  <si>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</si>
  <si>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</si>
  <si>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</si>
  <si>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</si>
  <si>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</si>
  <si>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</si>
  <si>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</si>
  <si>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</si>
  <si>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</si>
  <si>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</si>
  <si>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</si>
  <si>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</si>
  <si>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</si>
  <si>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</si>
  <si>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</si>
  <si>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</si>
  <si>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</si>
  <si>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</si>
  <si>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</si>
  <si>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</si>
  <si>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</si>
  <si>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</si>
  <si>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</si>
  <si>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</si>
  <si>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</si>
  <si>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</si>
  <si>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</si>
  <si>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</si>
  <si>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</si>
  <si>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</si>
  <si>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</si>
  <si>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</si>
  <si>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</si>
  <si>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</si>
  <si>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</si>
  <si>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</si>
  <si>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</si>
  <si>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</si>
  <si>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</si>
  <si>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</si>
  <si>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</si>
  <si>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</si>
  <si>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</si>
  <si>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</si>
  <si>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</si>
  <si>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</si>
  <si>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</si>
  <si>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</si>
  <si>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</si>
  <si>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</si>
  <si>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</si>
  <si>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</si>
  <si>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</si>
  <si>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</si>
  <si>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</si>
  <si>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</si>
  <si>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</si>
  <si>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</si>
  <si>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</si>
  <si>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</si>
  <si>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</si>
  <si>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</si>
  <si>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</si>
  <si>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</si>
  <si>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</si>
  <si>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</si>
  <si>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</si>
  <si>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</si>
  <si>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</si>
  <si>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</si>
  <si>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</si>
  <si>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</si>
  <si>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</si>
  <si>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</si>
  <si>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</si>
  <si>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</si>
  <si>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</si>
  <si>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</si>
  <si>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</si>
  <si>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</si>
  <si>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</si>
  <si>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</si>
  <si>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</si>
  <si>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</si>
  <si>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</si>
  <si>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</si>
  <si>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</si>
  <si>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</si>
  <si>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</si>
  <si>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</si>
  <si>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</si>
  <si>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</si>
  <si>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</si>
  <si>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</si>
  <si>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</si>
  <si>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</si>
  <si>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</si>
  <si>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</si>
  <si>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</si>
  <si>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</si>
  <si>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</si>
  <si>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</si>
  <si>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</si>
  <si>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</si>
  <si>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</si>
  <si>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</si>
  <si>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</si>
  <si>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</si>
  <si>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</si>
  <si>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</si>
  <si>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</si>
  <si>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</si>
  <si>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</si>
  <si>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</si>
  <si>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</si>
  <si>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</si>
  <si>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</si>
  <si>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</si>
  <si>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</si>
  <si>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</si>
  <si>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</si>
  <si>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</si>
  <si>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</si>
  <si>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</si>
  <si>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</si>
  <si>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</si>
  <si>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</si>
  <si>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</si>
  <si>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</si>
  <si>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</si>
  <si>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</si>
  <si>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</si>
  <si>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</si>
  <si>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</si>
  <si>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</si>
  <si>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</si>
  <si>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</si>
  <si>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</si>
  <si>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</si>
  <si>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</si>
  <si>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</si>
  <si>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</si>
  <si>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</si>
  <si>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</si>
  <si>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</si>
  <si>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</si>
  <si>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</si>
  <si>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</si>
  <si>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</si>
  <si>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</si>
  <si>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</si>
  <si>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</si>
  <si>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</si>
  <si>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</si>
  <si>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</si>
  <si>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</si>
  <si>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</si>
  <si>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</si>
  <si>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</si>
  <si>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</si>
  <si>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</si>
  <si>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</si>
  <si>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</si>
  <si>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</si>
  <si>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</si>
  <si>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</si>
  <si>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</si>
  <si>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</si>
  <si>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</si>
  <si>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</si>
  <si>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</si>
  <si>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</si>
  <si>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</si>
  <si>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</si>
  <si>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</si>
  <si>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</si>
  <si>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</si>
  <si>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</si>
  <si>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</si>
  <si>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</si>
  <si>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</si>
  <si>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</si>
  <si>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</si>
  <si>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</si>
  <si>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</si>
  <si>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</si>
  <si>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</si>
  <si>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</si>
  <si>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</si>
  <si>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</si>
  <si>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</si>
  <si>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</si>
  <si>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</si>
  <si>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</si>
  <si>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</si>
  <si>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</si>
  <si>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</si>
  <si>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</si>
  <si>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</si>
  <si>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</si>
  <si>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</si>
  <si>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</si>
  <si>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</si>
  <si>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</si>
  <si>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</si>
  <si>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</si>
  <si>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</si>
  <si>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</si>
  <si>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</si>
  <si>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</si>
  <si>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</si>
  <si>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</si>
  <si>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</si>
  <si>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</si>
  <si>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</si>
  <si>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</si>
  <si>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</si>
  <si>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</si>
  <si>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</si>
  <si>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</si>
  <si>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</si>
  <si>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</si>
  <si>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</si>
  <si>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</si>
  <si>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</si>
  <si>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</si>
  <si>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</si>
  <si>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</si>
  <si>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</si>
  <si>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</si>
  <si>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</si>
  <si>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</si>
  <si>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</si>
  <si>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</si>
  <si>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</si>
  <si>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</si>
  <si>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</si>
  <si>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</si>
  <si>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</si>
  <si>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</si>
  <si>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</si>
  <si>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</si>
  <si>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</si>
  <si>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</si>
  <si>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</si>
  <si>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</si>
  <si>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</si>
  <si>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</si>
  <si>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</si>
  <si>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</si>
  <si>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</si>
  <si>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</si>
  <si>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</si>
  <si>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</si>
  <si>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</si>
  <si>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</si>
  <si>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</si>
  <si>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</si>
  <si>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</si>
  <si>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</si>
  <si>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</si>
  <si>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</si>
  <si>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</si>
  <si>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</si>
  <si>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</si>
  <si>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</si>
  <si>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</si>
  <si>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</si>
  <si>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</si>
  <si>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</si>
  <si>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</si>
  <si>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</si>
  <si>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</si>
  <si>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</si>
  <si>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</si>
  <si>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</si>
  <si>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</si>
  <si>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</si>
  <si>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</si>
  <si>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</si>
  <si>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</si>
  <si>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</si>
  <si>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</si>
  <si>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</si>
  <si>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</si>
  <si>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</si>
  <si>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</si>
  <si>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</si>
  <si>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</si>
  <si>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</si>
  <si>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</si>
  <si>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</si>
  <si>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</si>
  <si>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</si>
  <si>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</si>
  <si>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</si>
  <si>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</si>
  <si>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</si>
  <si>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</si>
  <si>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</si>
  <si>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</si>
  <si>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</si>
  <si>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</si>
  <si>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</si>
  <si>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</si>
  <si>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</si>
  <si>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</si>
  <si>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</si>
  <si>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</si>
  <si>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</si>
  <si>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</si>
  <si>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</si>
  <si>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</si>
  <si>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</si>
  <si>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</si>
  <si>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</si>
  <si>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</si>
  <si>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</si>
  <si>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</si>
  <si>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</si>
  <si>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</si>
  <si>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</si>
  <si>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</si>
  <si>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</si>
  <si>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</si>
  <si>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</si>
  <si>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</si>
  <si>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</si>
  <si>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</si>
  <si>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</si>
  <si>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</si>
  <si>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</si>
  <si>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</si>
  <si>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</si>
  <si>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</si>
  <si>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</si>
  <si>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</si>
  <si>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</si>
  <si>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</si>
  <si>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</si>
  <si>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</si>
  <si>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</si>
  <si>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</si>
  <si>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</si>
  <si>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</si>
  <si>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</si>
  <si>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</si>
  <si>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</si>
  <si>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</si>
  <si>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</si>
  <si>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</si>
  <si>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</si>
  <si>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</si>
  <si>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</si>
  <si>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</si>
  <si>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</si>
  <si>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</si>
  <si>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</si>
  <si>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</si>
  <si>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</si>
  <si>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</si>
  <si>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</si>
  <si>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</si>
  <si>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</si>
  <si>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</si>
  <si>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</si>
  <si>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</si>
  <si>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</si>
  <si>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</si>
  <si>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</si>
  <si>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</si>
  <si>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</si>
  <si>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</si>
  <si>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</si>
  <si>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</si>
  <si>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</si>
  <si>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</si>
  <si>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</si>
  <si>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</si>
  <si>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</si>
  <si>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</si>
  <si>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</si>
  <si>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</si>
  <si>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</si>
  <si>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</si>
  <si>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</si>
  <si>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</si>
  <si>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</si>
  <si>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</si>
  <si>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</si>
  <si>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</si>
  <si>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</si>
  <si>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</si>
  <si>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</si>
  <si>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</si>
  <si>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</si>
  <si>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</si>
  <si>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</si>
  <si>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</si>
  <si>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</si>
  <si>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</si>
  <si>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</si>
  <si>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</si>
  <si>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</si>
  <si>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</si>
  <si>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</si>
  <si>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</si>
  <si>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</si>
  <si>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</si>
  <si>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</si>
  <si>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</si>
  <si>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</si>
  <si>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</si>
  <si>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</si>
  <si>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</si>
  <si>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</si>
  <si>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</si>
  <si>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</si>
  <si>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</si>
  <si>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</si>
  <si>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</si>
  <si>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</si>
  <si>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</si>
  <si>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</si>
  <si>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</si>
  <si>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</si>
  <si>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</si>
  <si>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</si>
  <si>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</si>
  <si>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</si>
  <si>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</si>
  <si>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</si>
  <si>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</si>
  <si>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</si>
  <si>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</si>
  <si>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</si>
  <si>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</si>
  <si>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</si>
  <si>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</si>
  <si>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</si>
  <si>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</si>
  <si>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</si>
  <si>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</si>
  <si>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</si>
  <si>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</si>
  <si>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</si>
  <si>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</si>
  <si>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</si>
  <si>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</si>
  <si>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</si>
  <si>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</si>
  <si>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</si>
  <si>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</si>
  <si>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</si>
  <si>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</si>
  <si>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</si>
  <si>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</si>
  <si>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</si>
  <si>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</si>
  <si>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</si>
  <si>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</si>
  <si>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</si>
  <si>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</si>
  <si>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</si>
  <si>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</si>
  <si>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</si>
  <si>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</si>
  <si>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</si>
  <si>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</si>
  <si>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</si>
  <si>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</si>
  <si>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</si>
  <si>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</si>
  <si>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</si>
  <si>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</si>
  <si>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</si>
  <si>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</si>
  <si>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</si>
  <si>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</si>
  <si>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</si>
  <si>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</si>
  <si>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</si>
  <si>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</si>
  <si>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</si>
  <si>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</si>
  <si>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</si>
  <si>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</si>
  <si>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</si>
  <si>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</si>
  <si>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</si>
  <si>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</si>
  <si>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</si>
  <si>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</si>
  <si>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</si>
  <si>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</si>
  <si>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</si>
  <si>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</si>
  <si>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</si>
  <si>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</si>
  <si>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</si>
  <si>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</si>
  <si>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</si>
  <si>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</si>
  <si>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</si>
  <si>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</si>
  <si>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</si>
  <si>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</si>
  <si>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</si>
  <si>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</si>
  <si>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</si>
  <si>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</si>
  <si>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</si>
  <si>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</si>
  <si>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</si>
  <si>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</si>
  <si>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</si>
  <si>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</si>
  <si>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</si>
  <si>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</si>
  <si>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</si>
  <si>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</si>
  <si>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</si>
  <si>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</si>
  <si>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</si>
  <si>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</si>
  <si>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</si>
  <si>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</si>
  <si>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</si>
  <si>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</si>
  <si>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</si>
  <si>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</si>
  <si>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</si>
  <si>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</si>
  <si>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</si>
  <si>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</si>
  <si>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</si>
  <si>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</si>
  <si>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</si>
  <si>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</si>
  <si>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</si>
  <si>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</si>
  <si>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</si>
  <si>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</si>
  <si>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</si>
  <si>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</si>
  <si>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</si>
  <si>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</si>
  <si>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</si>
  <si>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</si>
  <si>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</si>
  <si>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</si>
  <si>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</si>
  <si>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</si>
  <si>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</si>
  <si>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</si>
  <si>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</si>
  <si>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</si>
  <si>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</si>
  <si>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</si>
  <si>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</si>
  <si>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</si>
  <si>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</si>
  <si>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</si>
  <si>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</si>
  <si>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</si>
  <si>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</si>
  <si>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</si>
  <si>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</si>
  <si>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</si>
  <si>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</si>
  <si>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</si>
  <si>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</si>
  <si>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</si>
  <si>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</si>
  <si>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</si>
  <si>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</si>
  <si>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</si>
  <si>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</si>
  <si>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</si>
  <si>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</si>
  <si>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</si>
  <si>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</si>
  <si>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</si>
  <si>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</si>
  <si>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</si>
  <si>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</si>
  <si>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</si>
  <si>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</si>
  <si>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</si>
  <si>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</si>
  <si>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</si>
  <si>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</si>
  <si>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</si>
  <si>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</si>
  <si>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</si>
  <si>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</si>
  <si>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</si>
  <si>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</si>
  <si>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</si>
  <si>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</si>
  <si>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</si>
  <si>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</si>
  <si>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</si>
  <si>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</si>
  <si>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</si>
  <si>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</si>
  <si>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</si>
  <si>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</si>
  <si>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</si>
  <si>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</si>
  <si>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</si>
  <si>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</si>
  <si>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</si>
  <si>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</si>
  <si>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</si>
  <si>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</si>
  <si>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</si>
  <si>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</si>
  <si>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</si>
  <si>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</si>
  <si>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</si>
  <si>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</si>
  <si>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</si>
  <si>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</si>
  <si>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</si>
  <si>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</si>
  <si>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</si>
  <si>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</si>
  <si>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</si>
  <si>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</si>
  <si>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</si>
  <si>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</si>
  <si>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</si>
  <si>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</si>
  <si>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</si>
  <si>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</si>
  <si>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</si>
  <si>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</si>
  <si>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</si>
  <si>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</si>
  <si>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</si>
  <si>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</si>
  <si>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</si>
  <si>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</si>
  <si>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</si>
  <si>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</si>
  <si>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</si>
  <si>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</si>
  <si>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</si>
  <si>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</si>
  <si>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</si>
  <si>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</si>
  <si>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</si>
  <si>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</si>
  <si>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</si>
  <si>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</si>
  <si>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</si>
  <si>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</si>
  <si>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</si>
  <si>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</si>
  <si>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</si>
  <si>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</si>
  <si>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</si>
  <si>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</si>
  <si>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</si>
  <si>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</si>
  <si>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</si>
  <si>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</si>
  <si>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</si>
  <si>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</si>
  <si>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</si>
  <si>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</si>
  <si>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</si>
  <si>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</si>
  <si>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</si>
  <si>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</si>
  <si>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</si>
  <si>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</si>
  <si>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</si>
  <si>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</si>
  <si>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</si>
  <si>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</si>
  <si>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</si>
  <si>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</si>
  <si>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</si>
  <si>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</si>
  <si>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</si>
  <si>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</si>
  <si>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</si>
  <si>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</si>
  <si>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</si>
  <si>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</si>
  <si>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</si>
  <si>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</si>
  <si>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</si>
  <si>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</si>
  <si>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</si>
  <si>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</si>
  <si>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</si>
  <si>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</si>
  <si>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</si>
  <si>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</si>
  <si>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</si>
  <si>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</si>
  <si>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</si>
  <si>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</si>
  <si>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</si>
  <si>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</si>
  <si>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</si>
  <si>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</si>
  <si>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</si>
  <si>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</si>
  <si>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</si>
  <si>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</si>
  <si>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</si>
  <si>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</si>
  <si>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</si>
  <si>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</si>
  <si>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</si>
  <si>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</si>
  <si>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</si>
  <si>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</si>
  <si>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</si>
  <si>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</si>
  <si>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</si>
  <si>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</si>
  <si>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</si>
  <si>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</si>
  <si>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</si>
  <si>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</si>
  <si>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</si>
  <si>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</si>
  <si>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</si>
  <si>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</si>
  <si>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</si>
  <si>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</si>
  <si>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</si>
  <si>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</si>
  <si>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</si>
  <si>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</si>
  <si>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</si>
  <si>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</si>
  <si>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</si>
  <si>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</si>
  <si>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</si>
  <si>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</si>
  <si>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</si>
  <si>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</si>
  <si>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</si>
  <si>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</si>
  <si>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</si>
  <si>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</si>
  <si>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</si>
  <si>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</si>
  <si>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</si>
  <si>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</si>
  <si>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</si>
  <si>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</si>
  <si>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</si>
  <si>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</si>
  <si>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</si>
  <si>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</si>
  <si>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</si>
  <si>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</si>
  <si>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</si>
  <si>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</si>
  <si>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</si>
  <si>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</si>
  <si>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</si>
  <si>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</si>
  <si>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</si>
  <si>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</si>
  <si>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</si>
  <si>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</si>
  <si>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</si>
  <si>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</si>
  <si>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</si>
  <si>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</si>
  <si>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</si>
  <si>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</si>
  <si>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</si>
  <si>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</si>
  <si>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</si>
  <si>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</si>
  <si>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</si>
  <si>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</si>
  <si>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</si>
  <si>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</si>
  <si>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</si>
  <si>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</si>
  <si>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</si>
  <si>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</si>
  <si>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</si>
  <si>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</si>
  <si>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</si>
  <si>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</si>
  <si>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</si>
  <si>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</si>
  <si>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</si>
  <si>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</si>
  <si>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</si>
  <si>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</si>
  <si>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</si>
  <si>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</si>
  <si>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</si>
  <si>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</si>
  <si>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</si>
  <si>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</si>
  <si>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</si>
  <si>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</si>
  <si>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</si>
  <si>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</si>
  <si>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</si>
  <si>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</si>
  <si>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</si>
  <si>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</si>
  <si>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</si>
  <si>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</si>
  <si>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</si>
  <si>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</si>
  <si>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</si>
  <si>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</si>
  <si>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</si>
  <si>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</si>
  <si>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</si>
  <si>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</si>
  <si>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</si>
  <si>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</si>
  <si>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</si>
  <si>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</si>
  <si>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</si>
  <si>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</si>
  <si>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</si>
  <si>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</si>
  <si>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</si>
  <si>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</si>
  <si>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</si>
  <si>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</si>
  <si>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</si>
  <si>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</si>
  <si>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</si>
  <si>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</si>
  <si>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</si>
  <si>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</si>
  <si>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</si>
  <si>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</si>
  <si>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</si>
  <si>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</si>
  <si>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</si>
  <si>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</si>
  <si>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</si>
  <si>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</si>
  <si>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</si>
  <si>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</si>
  <si>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</si>
  <si>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</si>
  <si>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</si>
  <si>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</si>
  <si>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</si>
  <si>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</si>
  <si>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</si>
  <si>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</si>
  <si>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</si>
  <si>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</si>
  <si>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</si>
  <si>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</si>
  <si>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</si>
  <si>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</si>
  <si>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</si>
  <si>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</si>
  <si>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</si>
  <si>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</si>
  <si>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</si>
  <si>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</si>
  <si>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</si>
  <si>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</si>
  <si>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</si>
  <si>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</si>
  <si>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</si>
  <si>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</si>
  <si>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</si>
  <si>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</si>
  <si>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</si>
  <si>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</si>
  <si>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</si>
  <si>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</si>
  <si>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</si>
  <si>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</si>
  <si>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</si>
  <si>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</si>
  <si>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</si>
  <si>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</si>
  <si>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</si>
  <si>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</si>
  <si>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</si>
  <si>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</si>
  <si>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</si>
  <si>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</si>
  <si>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</si>
  <si>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</si>
  <si>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</si>
  <si>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</si>
  <si>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</si>
  <si>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</si>
  <si>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</si>
  <si>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</si>
  <si>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</si>
  <si>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</si>
  <si>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</si>
  <si>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</si>
  <si>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</si>
  <si>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</si>
  <si>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</si>
  <si>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</si>
  <si>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</si>
  <si>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</si>
  <si>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</si>
  <si>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</si>
  <si>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</si>
  <si>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</si>
  <si>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</si>
  <si>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</si>
  <si>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</si>
  <si>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</si>
  <si>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</si>
  <si>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</si>
  <si>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</si>
  <si>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</si>
  <si>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</si>
  <si>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</si>
  <si>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</si>
  <si>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</si>
  <si>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</si>
  <si>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</si>
  <si>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</si>
  <si>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</si>
  <si>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</si>
  <si>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</si>
  <si>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</si>
  <si>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</si>
  <si>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</si>
  <si>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</si>
  <si>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</si>
  <si>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</si>
  <si>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</si>
  <si>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</si>
  <si>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</si>
  <si>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</si>
  <si>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</si>
  <si>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</si>
  <si>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</si>
  <si>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</si>
  <si>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</si>
  <si>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</si>
  <si>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</si>
  <si>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</si>
  <si>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</si>
  <si>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</si>
  <si>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</si>
  <si>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</si>
  <si>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</si>
  <si>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</si>
  <si>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</si>
  <si>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</si>
  <si>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</si>
  <si>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</si>
  <si>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</si>
  <si>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</si>
  <si>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</si>
  <si>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</si>
  <si>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</si>
  <si>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</si>
  <si>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</si>
  <si>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</si>
  <si>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</si>
  <si>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</si>
  <si>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</si>
  <si>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</si>
  <si>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</si>
  <si>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</si>
  <si>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</si>
  <si>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</si>
  <si>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</si>
  <si>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</si>
  <si>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</si>
  <si>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</si>
  <si>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</si>
  <si>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</si>
  <si>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</si>
  <si>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</si>
  <si>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</si>
  <si>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</si>
  <si>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</si>
  <si>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</si>
  <si>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</si>
  <si>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</si>
  <si>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</si>
  <si>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</si>
  <si>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</si>
  <si>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</si>
  <si>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</si>
  <si>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</si>
  <si>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</si>
  <si>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</si>
  <si>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</si>
  <si>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</si>
  <si>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</si>
  <si>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</si>
  <si>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</si>
  <si>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</si>
  <si>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</si>
  <si>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</si>
  <si>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</si>
  <si>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</si>
  <si>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</si>
  <si>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</si>
  <si>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</si>
  <si>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</si>
  <si>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</si>
  <si>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</si>
  <si>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</si>
  <si>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</si>
  <si>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</si>
  <si>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</si>
  <si>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</si>
  <si>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</si>
  <si>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</si>
  <si>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</si>
  <si>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</si>
  <si>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</si>
  <si>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</si>
  <si>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</si>
  <si>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</si>
  <si>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</si>
  <si>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</si>
  <si>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</si>
  <si>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</si>
  <si>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</si>
  <si>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</si>
  <si>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</si>
  <si>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</si>
  <si>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</si>
  <si>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</si>
  <si>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</si>
  <si>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</si>
  <si>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</si>
  <si>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</si>
  <si>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</si>
  <si>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</si>
  <si>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</si>
  <si>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</si>
  <si>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</si>
  <si>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</si>
  <si>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</si>
  <si>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</si>
  <si>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</si>
  <si>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</si>
  <si>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</si>
  <si>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</si>
  <si>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</si>
  <si>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</si>
  <si>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</si>
  <si>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</si>
  <si>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</si>
  <si>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</si>
  <si>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</si>
  <si>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</si>
  <si>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</si>
  <si>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</si>
  <si>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</si>
  <si>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</si>
  <si>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</si>
  <si>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</si>
  <si>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</si>
  <si>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</si>
  <si>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</si>
  <si>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</si>
  <si>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</si>
  <si>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</si>
  <si>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</si>
  <si>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</si>
  <si>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</si>
  <si>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</si>
  <si>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</si>
  <si>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</si>
  <si>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</si>
  <si>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</si>
  <si>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</si>
  <si>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</si>
  <si>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</si>
  <si>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</si>
  <si>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</si>
  <si>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</si>
  <si>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</si>
  <si>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</si>
  <si>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</si>
  <si>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</si>
  <si>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</si>
  <si>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</si>
  <si>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</si>
  <si>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</si>
  <si>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</si>
  <si>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</si>
  <si>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</si>
  <si>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</si>
  <si>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</si>
  <si>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</si>
  <si>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</si>
  <si>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</si>
  <si>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</si>
  <si>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</si>
  <si>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</si>
  <si>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</si>
  <si>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</si>
  <si>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</si>
  <si>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</si>
  <si>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</si>
  <si>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</si>
  <si>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</si>
  <si>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</si>
  <si>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</si>
  <si>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</si>
  <si>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</si>
  <si>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</si>
  <si>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</si>
  <si>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</si>
  <si>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</si>
  <si>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</si>
  <si>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</si>
  <si>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</si>
  <si>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</si>
  <si>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</si>
  <si>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</si>
  <si>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</si>
  <si>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</si>
  <si>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</si>
  <si>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</si>
  <si>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</si>
  <si>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</si>
  <si>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</si>
  <si>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</si>
  <si>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</si>
  <si>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</si>
  <si>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</si>
  <si>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</si>
  <si>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</si>
  <si>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</si>
  <si>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</si>
  <si>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</si>
  <si>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</si>
  <si>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</si>
  <si>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</si>
  <si>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</si>
  <si>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</si>
  <si>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</si>
  <si>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</si>
  <si>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</si>
  <si>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</si>
  <si>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</si>
  <si>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</si>
  <si>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</si>
  <si>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</si>
  <si>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</si>
  <si>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</si>
  <si>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</si>
  <si>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</si>
  <si>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</si>
  <si>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</si>
  <si>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</si>
  <si>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</si>
  <si>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</si>
  <si>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</si>
  <si>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</si>
  <si>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</si>
  <si>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</si>
  <si>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</si>
  <si>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</si>
  <si>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</si>
  <si>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</si>
  <si>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</si>
  <si>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</si>
  <si>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</si>
  <si>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</si>
  <si>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</si>
  <si>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</si>
  <si>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</si>
  <si>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</si>
  <si>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</si>
  <si>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</si>
  <si>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</si>
  <si>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</si>
  <si>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</si>
  <si>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</si>
  <si>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</si>
  <si>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</si>
  <si>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</si>
  <si>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</si>
  <si>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</si>
  <si>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</si>
  <si>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</si>
  <si>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</si>
  <si>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</si>
  <si>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</si>
  <si>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</si>
  <si>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</si>
  <si>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</si>
  <si>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</si>
  <si>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</si>
  <si>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</si>
  <si>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</si>
  <si>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</si>
  <si>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</si>
  <si>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</si>
  <si>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</si>
  <si>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</si>
  <si>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</si>
  <si>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</si>
  <si>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</si>
  <si>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</si>
  <si>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</si>
  <si>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</si>
  <si>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</si>
  <si>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</si>
  <si>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</si>
  <si>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</si>
  <si>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</si>
  <si>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</si>
  <si>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</si>
  <si>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</si>
  <si>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</si>
  <si>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</si>
  <si>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</si>
  <si>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</si>
  <si>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</si>
  <si>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</si>
  <si>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</si>
  <si>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</si>
  <si>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</si>
  <si>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</si>
  <si>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</si>
  <si>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</si>
  <si>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</si>
  <si>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</si>
  <si>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</si>
  <si>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</si>
  <si>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</si>
  <si>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</si>
  <si>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</si>
  <si>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</si>
  <si>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</si>
  <si>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</si>
  <si>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</si>
  <si>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</si>
  <si>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</si>
  <si>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</si>
  <si>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</si>
  <si>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</si>
  <si>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</si>
  <si>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</si>
  <si>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</si>
  <si>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</si>
  <si>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</si>
  <si>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</si>
  <si>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</si>
  <si>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</si>
  <si>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</si>
  <si>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</si>
  <si>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</si>
  <si>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</si>
  <si>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</si>
  <si>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</si>
  <si>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</si>
  <si>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</si>
  <si>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</si>
  <si>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</si>
  <si>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</si>
  <si>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</si>
  <si>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</si>
  <si>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</si>
  <si>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</si>
  <si>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</si>
  <si>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</si>
  <si>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</si>
  <si>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</si>
  <si>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</si>
  <si>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</si>
  <si>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</si>
  <si>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</si>
  <si>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</si>
  <si>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</si>
  <si>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</si>
  <si>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</si>
  <si>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</si>
  <si>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</si>
  <si>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</si>
  <si>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</si>
  <si>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</si>
  <si>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</si>
  <si>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</si>
  <si>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</si>
  <si>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</si>
  <si>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</si>
  <si>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</si>
  <si>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</si>
  <si>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</si>
  <si>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</si>
  <si>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</si>
  <si>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</si>
  <si>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</si>
  <si>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</si>
  <si>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</si>
  <si>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</si>
  <si>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</si>
  <si>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</si>
  <si>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</si>
  <si>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</si>
  <si>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</si>
  <si>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</si>
  <si>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</si>
  <si>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</si>
  <si>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</si>
  <si>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</si>
  <si>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</si>
  <si>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</si>
  <si>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</si>
  <si>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</si>
  <si>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</si>
  <si>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</si>
  <si>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</si>
  <si>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</si>
  <si>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</si>
  <si>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</si>
  <si>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</si>
  <si>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</si>
  <si>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</si>
  <si>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</si>
  <si>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</si>
  <si>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</si>
  <si>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</si>
  <si>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</si>
  <si>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</si>
  <si>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</si>
  <si>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</si>
  <si>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</si>
  <si>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</si>
  <si>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</si>
  <si>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</si>
  <si>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</si>
  <si>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</si>
  <si>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</si>
  <si>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</si>
  <si>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</si>
  <si>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</si>
  <si>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</si>
  <si>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</si>
  <si>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</si>
  <si>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</si>
  <si>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</si>
  <si>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</si>
  <si>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</si>
  <si>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</si>
  <si>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</si>
  <si>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</si>
  <si>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</si>
  <si>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</si>
  <si>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</si>
  <si>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</si>
  <si>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</si>
  <si>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</si>
  <si>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</si>
  <si>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</si>
  <si>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</si>
  <si>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</si>
  <si>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</si>
  <si>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</si>
  <si>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</si>
  <si>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</si>
  <si>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</si>
  <si>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</si>
  <si>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</si>
  <si>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</si>
  <si>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</si>
  <si>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</si>
  <si>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</si>
  <si>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</si>
  <si>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</si>
  <si>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</si>
  <si>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</si>
  <si>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</si>
  <si>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</si>
  <si>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</si>
  <si>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</si>
  <si>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</si>
  <si>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</si>
  <si>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</si>
  <si>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</si>
  <si>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</si>
  <si>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</si>
  <si>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</si>
  <si>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</si>
  <si>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</si>
  <si>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</si>
  <si>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</si>
  <si>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</si>
  <si>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</si>
  <si>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</si>
  <si>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</si>
  <si>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</si>
  <si>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</si>
  <si>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</si>
  <si>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</si>
  <si>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</si>
  <si>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</si>
  <si>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</si>
  <si>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</si>
  <si>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</si>
  <si>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</si>
  <si>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</si>
  <si>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</si>
  <si>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</si>
  <si>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</si>
  <si>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</si>
  <si>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</si>
  <si>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</si>
  <si>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</si>
  <si>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</si>
  <si>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</si>
  <si>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</si>
  <si>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</si>
  <si>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</si>
  <si>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</si>
  <si>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</si>
  <si>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</si>
  <si>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</si>
  <si>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</si>
  <si>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</si>
  <si>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</si>
  <si>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</si>
  <si>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</si>
  <si>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</si>
  <si>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</si>
  <si>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</si>
  <si>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</si>
  <si>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</si>
  <si>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</si>
  <si>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</si>
  <si>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</si>
  <si>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</si>
  <si>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</si>
  <si>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</si>
  <si>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</si>
  <si>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</si>
  <si>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</si>
  <si>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</si>
  <si>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</si>
  <si>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</si>
  <si>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</si>
  <si>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</si>
  <si>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</si>
  <si>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</si>
  <si>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</si>
  <si>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</si>
  <si>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</si>
  <si>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</si>
  <si>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</si>
  <si>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</si>
  <si>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</si>
  <si>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</si>
  <si>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</si>
  <si>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</si>
  <si>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</si>
  <si>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</si>
  <si>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</si>
  <si>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</si>
  <si>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</si>
  <si>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</si>
  <si>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</si>
  <si>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</si>
  <si>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</si>
  <si>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</si>
  <si>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</si>
  <si>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</si>
  <si>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</si>
  <si>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</si>
  <si>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</si>
  <si>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</si>
  <si>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</si>
  <si>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</si>
  <si>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</si>
  <si>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</si>
  <si>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</si>
  <si>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</si>
  <si>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</si>
  <si>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</si>
  <si>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</si>
  <si>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</si>
  <si>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</si>
  <si>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</si>
  <si>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</si>
  <si>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</si>
  <si>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</si>
  <si>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</si>
  <si>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</si>
  <si>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</si>
  <si>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</si>
  <si>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</si>
  <si>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</si>
  <si>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</si>
  <si>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</si>
  <si>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</si>
  <si>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</si>
  <si>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</si>
  <si>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</si>
  <si>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</si>
  <si>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</si>
  <si>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</si>
  <si>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</si>
  <si>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</si>
  <si>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</si>
  <si>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</si>
  <si>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</si>
  <si>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</si>
  <si>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</si>
  <si>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</si>
  <si>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</si>
  <si>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</si>
  <si>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</si>
  <si>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</si>
  <si>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</si>
  <si>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</si>
  <si>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</si>
  <si>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</si>
  <si>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</si>
  <si>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</si>
  <si>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</si>
  <si>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</si>
  <si>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</si>
  <si>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</si>
  <si>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</si>
  <si>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</si>
  <si>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</si>
  <si>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</si>
  <si>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</si>
  <si>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</si>
  <si>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</si>
  <si>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</si>
  <si>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</si>
  <si>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</si>
  <si>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</si>
  <si>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</si>
  <si>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</si>
  <si>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</si>
  <si>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</si>
  <si>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</si>
  <si>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</si>
  <si>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</si>
  <si>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</si>
  <si>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</si>
  <si>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</si>
  <si>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</si>
  <si>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</si>
  <si>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</si>
  <si>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</si>
  <si>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</si>
  <si>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</si>
  <si>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</si>
  <si>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</si>
  <si>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</si>
  <si>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</si>
  <si>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</si>
  <si>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</si>
  <si>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</si>
  <si>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</si>
  <si>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</si>
  <si>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</si>
  <si>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</si>
  <si>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</si>
  <si>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</si>
  <si>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</si>
  <si>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</si>
  <si>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</si>
  <si>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</si>
  <si>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</si>
  <si>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</si>
  <si>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</si>
  <si>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</si>
  <si>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</si>
  <si>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</si>
  <si>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</si>
  <si>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</si>
  <si>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</si>
  <si>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</si>
  <si>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</si>
  <si>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</si>
  <si>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</si>
  <si>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</si>
  <si>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</si>
  <si>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</si>
  <si>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</si>
  <si>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</si>
  <si>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</si>
  <si>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</si>
  <si>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</si>
  <si>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</si>
  <si>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</si>
  <si>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</si>
  <si>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</si>
  <si>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</si>
  <si>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</si>
  <si>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</si>
  <si>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</si>
  <si>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</si>
  <si>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</si>
  <si>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</si>
  <si>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</si>
  <si>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</si>
  <si>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</si>
  <si>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</si>
  <si>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</si>
  <si>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</si>
  <si>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</si>
  <si>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</si>
  <si>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</si>
  <si>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</si>
  <si>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</si>
  <si>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</si>
  <si>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</si>
  <si>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</si>
  <si>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</si>
  <si>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</si>
  <si>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</si>
  <si>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</si>
  <si>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</si>
  <si>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</si>
  <si>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</si>
  <si>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</si>
  <si>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</si>
  <si>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</si>
  <si>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</si>
  <si>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</si>
  <si>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</si>
  <si>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</si>
  <si>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</si>
  <si>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</si>
  <si>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</si>
  <si>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</si>
  <si>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</si>
  <si>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</si>
  <si>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</si>
  <si>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</si>
  <si>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</si>
  <si>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</si>
  <si>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</si>
  <si>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</si>
  <si>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</si>
  <si>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</si>
  <si>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</si>
  <si>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</si>
  <si>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</si>
  <si>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</si>
  <si>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</si>
  <si>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</si>
  <si>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</si>
  <si>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</si>
  <si>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</si>
  <si>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</si>
  <si>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</si>
  <si>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</si>
  <si>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</si>
  <si>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</si>
  <si>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</si>
  <si>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</si>
  <si>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</si>
  <si>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</si>
  <si>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</si>
  <si>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</si>
  <si>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</si>
  <si>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</si>
  <si>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</si>
  <si>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</si>
  <si>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</si>
  <si>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</si>
  <si>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</si>
  <si>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</si>
  <si>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</si>
  <si>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</si>
  <si>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</si>
  <si>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</si>
  <si>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</si>
  <si>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</si>
  <si>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</si>
  <si>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</si>
  <si>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</si>
  <si>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</si>
  <si>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</si>
  <si>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</si>
  <si>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</si>
  <si>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</si>
  <si>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</si>
  <si>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</si>
  <si>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</si>
  <si>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</si>
  <si>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</si>
  <si>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</si>
  <si>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</si>
  <si>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</si>
  <si>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</si>
  <si>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</si>
  <si>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</si>
  <si>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</si>
  <si>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</si>
  <si>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</si>
  <si>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</si>
  <si>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</si>
  <si>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</si>
  <si>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</si>
  <si>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</si>
  <si>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</si>
  <si>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</si>
  <si>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</si>
  <si>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</si>
  <si>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</si>
  <si>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</si>
  <si>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</si>
  <si>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</si>
  <si>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</si>
  <si>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</si>
  <si>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</si>
  <si>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</si>
  <si>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</si>
  <si>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</si>
  <si>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</si>
  <si>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</si>
  <si>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</si>
  <si>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</si>
  <si>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</si>
  <si>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</si>
  <si>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</si>
  <si>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</si>
  <si>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</si>
  <si>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</si>
  <si>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</si>
  <si>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</si>
  <si>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</si>
  <si>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</si>
  <si>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</si>
  <si>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</si>
  <si>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</si>
  <si>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</si>
  <si>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</si>
  <si>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</si>
  <si>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</si>
  <si>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</si>
  <si>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</si>
  <si>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</si>
  <si>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</si>
  <si>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</si>
  <si>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</si>
  <si>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</si>
  <si>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</si>
  <si>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</si>
  <si>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</si>
  <si>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</si>
  <si>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</si>
  <si>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</si>
  <si>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</si>
  <si>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</si>
  <si>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</si>
  <si>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</si>
  <si>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</si>
  <si>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</si>
  <si>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</si>
  <si>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</si>
  <si>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</si>
  <si>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</si>
  <si>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</si>
  <si>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</si>
  <si>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</si>
  <si>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</si>
  <si>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</si>
  <si>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</si>
  <si>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</si>
  <si>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</si>
  <si>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</si>
  <si>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</si>
  <si>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</si>
  <si>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</si>
  <si>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</si>
  <si>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</si>
  <si>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</si>
  <si>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</si>
  <si>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</si>
  <si>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</si>
  <si>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</si>
  <si>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</si>
  <si>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</si>
  <si>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</si>
  <si>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</si>
  <si>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</si>
  <si>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</si>
  <si>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</si>
  <si>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</si>
  <si>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</si>
  <si>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</si>
  <si>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</si>
  <si>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</si>
  <si>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</si>
  <si>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</si>
  <si>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</si>
  <si>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</si>
  <si>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</si>
  <si>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</si>
  <si>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</si>
  <si>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</si>
  <si>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</si>
  <si>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</si>
  <si>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</si>
  <si>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</si>
  <si>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</si>
  <si>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</si>
  <si>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</si>
  <si>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</si>
  <si>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</si>
  <si>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</si>
  <si>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</si>
  <si>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</si>
  <si>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</si>
  <si>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</si>
  <si>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</si>
  <si>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</si>
  <si>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</si>
  <si>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</si>
  <si>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</si>
  <si>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</si>
  <si>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</si>
  <si>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</si>
  <si>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</si>
  <si>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</si>
  <si>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</si>
  <si>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</si>
  <si>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</si>
  <si>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</si>
  <si>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</si>
  <si>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</si>
  <si>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</si>
  <si>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</si>
  <si>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</si>
  <si>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</si>
  <si>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</si>
  <si>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</si>
  <si>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</si>
  <si>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</si>
  <si>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</si>
  <si>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</si>
  <si>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</si>
  <si>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</si>
  <si>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</si>
  <si>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</si>
  <si>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</si>
  <si>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</si>
  <si>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</si>
  <si>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</si>
  <si>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</si>
  <si>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</si>
  <si>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</si>
  <si>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</si>
  <si>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</si>
  <si>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</si>
  <si>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</si>
  <si>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</si>
  <si>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</si>
  <si>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</si>
  <si>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</si>
  <si>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</si>
  <si>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</si>
  <si>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</si>
  <si>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</si>
  <si>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</si>
  <si>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</si>
  <si>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</si>
  <si>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</si>
  <si>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</si>
  <si>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</si>
  <si>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</si>
  <si>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</si>
  <si>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</si>
  <si>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</si>
  <si>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</si>
  <si>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</si>
  <si>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</si>
  <si>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</si>
  <si>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</si>
  <si>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</si>
  <si>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</si>
  <si>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</si>
  <si>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</si>
  <si>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</si>
  <si>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</si>
  <si>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</si>
  <si>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</si>
  <si>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</si>
  <si>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</si>
  <si>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</si>
  <si>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</si>
  <si>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</si>
  <si>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</si>
  <si>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</si>
  <si>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</si>
  <si>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</si>
  <si>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</si>
  <si>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</si>
  <si>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</si>
  <si>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</si>
  <si>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</si>
  <si>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</si>
  <si>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</si>
  <si>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</si>
  <si>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</si>
  <si>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</si>
  <si>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</si>
  <si>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</si>
  <si>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</si>
  <si>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</si>
  <si>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</si>
  <si>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</si>
  <si>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</si>
  <si>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</si>
  <si>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</si>
  <si>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</si>
  <si>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</si>
  <si>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</si>
  <si>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</si>
  <si>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</si>
  <si>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</si>
  <si>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</si>
  <si>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</si>
  <si>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</si>
  <si>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</si>
  <si>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</si>
  <si>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</si>
  <si>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</si>
  <si>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</si>
  <si>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</si>
  <si>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</si>
  <si>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</si>
  <si>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</si>
  <si>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</si>
  <si>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</si>
  <si>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</si>
  <si>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</si>
  <si>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</si>
  <si>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</si>
  <si>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</si>
  <si>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</si>
  <si>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</si>
  <si>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</si>
  <si>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</si>
  <si>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</si>
  <si>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</si>
  <si>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</si>
  <si>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</si>
  <si>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</si>
  <si>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</si>
  <si>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</si>
  <si>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</si>
  <si>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</si>
  <si>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</si>
  <si>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</si>
  <si>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</si>
  <si>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</si>
  <si>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</si>
  <si>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</si>
  <si>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</si>
  <si>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</si>
  <si>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</si>
  <si>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</si>
  <si>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</si>
  <si>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</si>
  <si>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</si>
  <si>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</si>
  <si>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</si>
  <si>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</si>
  <si>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</si>
  <si>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</si>
  <si>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</si>
  <si>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</si>
  <si>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</si>
  <si>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</si>
  <si>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</si>
  <si>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</si>
  <si>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</si>
  <si>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</si>
  <si>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</si>
  <si>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</si>
  <si>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</si>
  <si>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</si>
  <si>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</si>
  <si>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</si>
  <si>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</si>
  <si>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</si>
  <si>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</si>
  <si>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</si>
  <si>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</si>
  <si>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</si>
  <si>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</si>
  <si>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</si>
  <si>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</si>
  <si>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</si>
  <si>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</si>
  <si>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</si>
  <si>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</si>
  <si>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</si>
  <si>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</si>
  <si>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</si>
  <si>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</si>
  <si>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</si>
  <si>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</si>
  <si>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</si>
  <si>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</si>
  <si>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</si>
  <si>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</si>
  <si>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</si>
  <si>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</si>
  <si>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</si>
  <si>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</si>
  <si>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</si>
  <si>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</si>
  <si>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</si>
  <si>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</si>
  <si>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</si>
  <si>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</si>
  <si>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</si>
  <si>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</si>
  <si>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</si>
  <si>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</si>
  <si>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</si>
  <si>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</si>
  <si>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</si>
  <si>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</si>
  <si>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</si>
  <si>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</si>
  <si>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</si>
  <si>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</si>
  <si>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</si>
  <si>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</si>
  <si>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</si>
  <si>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</si>
  <si>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</si>
  <si>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</si>
  <si>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</si>
  <si>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</si>
  <si>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</si>
  <si>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</si>
  <si>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</si>
  <si>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</si>
  <si>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</si>
  <si>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</si>
  <si>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</si>
  <si>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</si>
  <si>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</si>
  <si>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</si>
  <si>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</si>
  <si>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</si>
  <si>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</si>
  <si>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</si>
  <si>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</si>
  <si>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</si>
  <si>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</si>
  <si>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</si>
  <si>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</si>
  <si>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</si>
  <si>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</si>
  <si>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</si>
  <si>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</si>
  <si>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</si>
  <si>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</si>
  <si>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</si>
  <si>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</si>
  <si>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</si>
  <si>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</si>
  <si>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</si>
  <si>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</si>
  <si>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</si>
  <si>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</si>
  <si>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</si>
  <si>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</si>
  <si>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</si>
  <si>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</si>
  <si>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</si>
  <si>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</si>
  <si>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</si>
  <si>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</si>
  <si>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</si>
  <si>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</si>
  <si>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</si>
  <si>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</si>
  <si>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</si>
  <si>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</si>
  <si>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</si>
  <si>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</si>
  <si>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</si>
  <si>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</si>
  <si>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</si>
  <si>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</si>
  <si>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</si>
  <si>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</si>
  <si>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</si>
  <si>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</si>
  <si>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</si>
  <si>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</si>
  <si>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</si>
  <si>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</si>
  <si>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</si>
  <si>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</si>
  <si>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</si>
  <si>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</si>
  <si>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</si>
  <si>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</si>
  <si>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</si>
  <si>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</si>
  <si>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</si>
  <si>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</si>
  <si>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</si>
  <si>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</si>
  <si>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</si>
  <si>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</si>
  <si>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</si>
  <si>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</si>
  <si>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</si>
  <si>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</si>
  <si>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</si>
  <si>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</si>
  <si>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</si>
  <si>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</si>
  <si>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</si>
  <si>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</si>
  <si>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</si>
  <si>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</si>
  <si>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</si>
  <si>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</si>
  <si>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</si>
  <si>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</si>
  <si>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</si>
  <si>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</si>
  <si>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</si>
  <si>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</si>
  <si>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</si>
  <si>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</si>
  <si>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</si>
  <si>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</si>
  <si>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</si>
  <si>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</si>
  <si>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</si>
  <si>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</si>
  <si>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</si>
  <si>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</si>
  <si>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</si>
  <si>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</si>
  <si>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</si>
  <si>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</si>
  <si>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</si>
  <si>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</si>
  <si>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</si>
  <si>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</si>
  <si>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</si>
  <si>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</si>
  <si>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</si>
  <si>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</si>
  <si>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</si>
  <si>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</si>
  <si>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</si>
  <si>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</si>
  <si>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</si>
  <si>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</si>
  <si>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</si>
  <si>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</si>
  <si>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</si>
  <si>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</si>
  <si>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</si>
  <si>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</si>
  <si>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</si>
  <si>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</si>
  <si>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</si>
  <si>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</si>
  <si>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</si>
  <si>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</si>
  <si>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</si>
  <si>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</si>
  <si>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</si>
  <si>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</si>
  <si>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</si>
  <si>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</si>
  <si>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</si>
  <si>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</si>
  <si>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</si>
  <si>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</si>
  <si>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</si>
  <si>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</si>
  <si>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</si>
  <si>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</si>
  <si>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</si>
  <si>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</si>
  <si>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</si>
  <si>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</si>
  <si>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</si>
  <si>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</si>
  <si>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</si>
  <si>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</si>
  <si>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</si>
  <si>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</si>
  <si>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</si>
  <si>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</si>
  <si>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</si>
  <si>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</si>
  <si>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</si>
  <si>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</si>
  <si>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</si>
  <si>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</si>
  <si>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</si>
  <si>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</si>
  <si>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</si>
  <si>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</si>
  <si>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</si>
  <si>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</si>
  <si>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</si>
  <si>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</si>
  <si>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</si>
  <si>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</si>
  <si>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</si>
  <si>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</si>
  <si>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</si>
  <si>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</si>
  <si>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</si>
  <si>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</si>
  <si>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</si>
  <si>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</si>
  <si>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</si>
  <si>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</si>
  <si>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</si>
  <si>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</si>
  <si>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</si>
  <si>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</si>
  <si>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</si>
  <si>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</si>
  <si>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</si>
  <si>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</si>
  <si>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</si>
  <si>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</si>
  <si>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</si>
  <si>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</si>
  <si>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</si>
  <si>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</si>
  <si>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</si>
  <si>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</si>
  <si>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</si>
  <si>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</si>
  <si>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</si>
  <si>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</si>
  <si>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</si>
  <si>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</si>
  <si>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</si>
  <si>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</si>
  <si>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</si>
  <si>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</si>
  <si>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</si>
  <si>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</si>
  <si>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</si>
  <si>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</si>
  <si>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</si>
  <si>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</si>
  <si>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</si>
  <si>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</si>
  <si>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</si>
  <si>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</si>
  <si>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</si>
  <si>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</si>
  <si>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</si>
  <si>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</si>
  <si>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</si>
  <si>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</si>
  <si>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</si>
  <si>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</si>
  <si>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</si>
  <si>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</si>
  <si>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</si>
  <si>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</si>
  <si>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</si>
  <si>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</si>
  <si>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</si>
  <si>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</si>
  <si>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</si>
  <si>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</si>
  <si>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</si>
  <si>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</si>
  <si>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</si>
  <si>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</si>
  <si>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</si>
  <si>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</si>
  <si>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</si>
  <si>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</si>
  <si>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</si>
  <si>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</si>
  <si>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</si>
  <si>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</si>
  <si>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</si>
  <si>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</si>
  <si>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</si>
  <si>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</si>
  <si>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</si>
  <si>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</si>
  <si>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</si>
  <si>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</si>
  <si>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</si>
  <si>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</si>
  <si>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</si>
  <si>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</si>
  <si>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</si>
  <si>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</si>
  <si>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</si>
  <si>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</si>
  <si>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</si>
  <si>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</si>
  <si>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</si>
  <si>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</si>
  <si>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</si>
  <si>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</si>
  <si>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</si>
  <si>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</si>
  <si>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</si>
  <si>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</si>
  <si>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</si>
  <si>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</si>
  <si>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</si>
  <si>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</si>
  <si>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</si>
  <si>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</si>
  <si>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</si>
  <si>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</si>
  <si>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</si>
  <si>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</si>
  <si>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</si>
  <si>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</si>
  <si>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</si>
  <si>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</si>
  <si>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</si>
  <si>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</si>
  <si>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</si>
  <si>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</si>
  <si>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</si>
  <si>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</si>
  <si>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</si>
  <si>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</si>
  <si>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</si>
  <si>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</si>
  <si>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</si>
  <si>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</si>
  <si>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</si>
  <si>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</si>
  <si>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</si>
  <si>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</si>
  <si>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</si>
  <si>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</si>
  <si>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</si>
  <si>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</si>
  <si>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</si>
  <si>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</si>
  <si>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</si>
  <si>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</si>
  <si>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</si>
  <si>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</si>
  <si>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</si>
  <si>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</si>
  <si>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</si>
  <si>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</si>
  <si>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</si>
  <si>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</si>
  <si>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</si>
  <si>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</si>
  <si>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</si>
  <si>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</si>
  <si>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</si>
  <si>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</si>
  <si>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</si>
  <si>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</si>
  <si>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</si>
  <si>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</si>
  <si>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</si>
  <si>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</si>
  <si>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</si>
  <si>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</si>
  <si>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</si>
  <si>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</si>
  <si>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</si>
  <si>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</si>
  <si>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</si>
  <si>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</si>
  <si>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</si>
  <si>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</si>
  <si>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</si>
  <si>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</si>
  <si>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</si>
  <si>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</si>
  <si>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</si>
  <si>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</si>
  <si>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</si>
  <si>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</si>
  <si>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</si>
  <si>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</si>
  <si>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</si>
  <si>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</si>
  <si>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</si>
  <si>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</si>
  <si>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</si>
  <si>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</si>
  <si>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</si>
  <si>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</si>
  <si>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</si>
  <si>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</si>
  <si>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</si>
  <si>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</si>
  <si>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</si>
  <si>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</si>
  <si>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</si>
  <si>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</si>
  <si>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</si>
  <si>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</si>
  <si>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</si>
  <si>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</si>
  <si>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</si>
  <si>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</si>
  <si>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</si>
  <si>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</si>
  <si>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</si>
  <si>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</si>
  <si>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</si>
  <si>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</si>
  <si>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</si>
  <si>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</si>
  <si>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</si>
  <si>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</si>
  <si>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</si>
  <si>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</si>
  <si>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</si>
  <si>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</si>
  <si>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</si>
  <si>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</si>
  <si>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</si>
  <si>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</si>
  <si>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</si>
  <si>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</si>
  <si>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</si>
  <si>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</si>
  <si>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</si>
  <si>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</si>
  <si>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</si>
  <si>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</si>
  <si>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</si>
  <si>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</si>
  <si>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</si>
  <si>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</si>
  <si>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</si>
  <si>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</si>
  <si>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</si>
  <si>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</si>
  <si>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</si>
  <si>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</si>
  <si>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</si>
  <si>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</si>
  <si>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</si>
  <si>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</si>
  <si>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</si>
  <si>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</si>
  <si>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</si>
  <si>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</si>
  <si>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</si>
  <si>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</si>
  <si>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</si>
  <si>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</si>
  <si>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</si>
  <si>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</si>
  <si>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</si>
  <si>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</si>
  <si>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</si>
  <si>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</si>
  <si>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</si>
  <si>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</si>
  <si>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</si>
  <si>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</si>
  <si>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</si>
  <si>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</si>
  <si>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</si>
  <si>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</si>
  <si>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</si>
  <si>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</si>
  <si>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</si>
  <si>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</si>
  <si>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</si>
  <si>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</si>
  <si>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</si>
  <si>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</si>
  <si>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</si>
  <si>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</si>
  <si>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</si>
  <si>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</si>
  <si>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</si>
  <si>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</si>
  <si>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</si>
  <si>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</si>
  <si>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</si>
  <si>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</si>
  <si>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</si>
  <si>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</si>
  <si>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</si>
  <si>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</si>
  <si>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</si>
  <si>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</si>
  <si>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</si>
  <si>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</si>
  <si>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</si>
  <si>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</si>
  <si>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</si>
  <si>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</si>
  <si>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</si>
  <si>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</si>
  <si>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</si>
  <si>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</si>
  <si>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</si>
  <si>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</si>
  <si>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</si>
  <si>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</si>
  <si>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</si>
  <si>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</si>
  <si>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</si>
  <si>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</si>
  <si>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</si>
  <si>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</si>
  <si>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</si>
  <si>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</si>
  <si>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</si>
  <si>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</si>
  <si>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</si>
  <si>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</si>
  <si>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</si>
  <si>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</si>
  <si>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</si>
  <si>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</si>
  <si>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</si>
  <si>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</si>
  <si>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</si>
  <si>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</si>
  <si>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</si>
  <si>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</si>
  <si>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</si>
  <si>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</si>
  <si>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</si>
  <si>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</si>
  <si>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</si>
  <si>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</si>
  <si>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</si>
  <si>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</si>
  <si>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</si>
  <si>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</si>
  <si>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</si>
  <si>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</si>
  <si>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</si>
  <si>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</si>
  <si>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</si>
  <si>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</si>
  <si>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</si>
  <si>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</si>
  <si>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</si>
  <si>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</si>
  <si>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</si>
  <si>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</si>
  <si>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</si>
  <si>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</si>
  <si>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</si>
  <si>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</si>
  <si>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</si>
  <si>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</si>
  <si>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</si>
  <si>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</si>
  <si>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</si>
  <si>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</si>
  <si>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</si>
  <si>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</si>
  <si>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</si>
  <si>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</si>
  <si>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</si>
  <si>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</si>
  <si>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</si>
  <si>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</si>
  <si>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</si>
  <si>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</si>
  <si>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</si>
  <si>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</si>
  <si>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</si>
  <si>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</si>
  <si>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</si>
  <si>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</si>
  <si>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</si>
  <si>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</si>
  <si>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</si>
  <si>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</si>
  <si>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</si>
  <si>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</si>
  <si>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</si>
  <si>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</si>
  <si>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</si>
  <si>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</si>
  <si>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</si>
  <si>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</si>
  <si>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</si>
  <si>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</si>
  <si>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</si>
  <si>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</si>
  <si>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</si>
  <si>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</si>
  <si>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</si>
  <si>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</si>
  <si>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</si>
  <si>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</si>
  <si>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</si>
  <si>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</si>
  <si>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</si>
  <si>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</si>
  <si>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</si>
  <si>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</si>
  <si>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</si>
  <si>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</si>
  <si>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</si>
  <si>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</si>
  <si>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</si>
  <si>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</si>
  <si>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</si>
  <si>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</si>
  <si>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</si>
  <si>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</si>
  <si>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</si>
  <si>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</si>
  <si>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</si>
  <si>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</si>
  <si>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</si>
  <si>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</si>
  <si>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</si>
  <si>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</si>
  <si>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</si>
  <si>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</si>
  <si>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</si>
  <si>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</si>
  <si>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</si>
  <si>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</si>
  <si>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</si>
  <si>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</si>
  <si>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</si>
  <si>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</si>
  <si>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</si>
  <si>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</si>
  <si>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</si>
  <si>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</si>
  <si>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</si>
  <si>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</si>
  <si>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</si>
  <si>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</si>
  <si>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</si>
  <si>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</si>
  <si>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</si>
  <si>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</si>
  <si>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</si>
  <si>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</si>
  <si>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</si>
  <si>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</si>
  <si>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</si>
  <si>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</si>
  <si>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</si>
  <si>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</si>
  <si>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</si>
  <si>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</si>
  <si>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</si>
  <si>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</si>
  <si>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</si>
  <si>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</si>
  <si>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</si>
  <si>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</si>
  <si>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</si>
  <si>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</si>
  <si>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</si>
  <si>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</si>
  <si>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</si>
  <si>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</si>
  <si>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</si>
  <si>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</si>
  <si>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</si>
  <si>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</si>
  <si>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</si>
  <si>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</si>
  <si>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</si>
  <si>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</si>
  <si>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</si>
  <si>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</si>
  <si>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</si>
  <si>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</si>
  <si>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</si>
  <si>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</si>
  <si>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</si>
  <si>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</si>
  <si>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</si>
  <si>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</si>
  <si>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</si>
  <si>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</si>
  <si>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</si>
  <si>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</si>
  <si>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</si>
  <si>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</si>
  <si>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</si>
  <si>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</si>
  <si>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</si>
  <si>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</si>
  <si>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</si>
  <si>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</si>
  <si>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</si>
  <si>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</si>
  <si>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</si>
  <si>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</si>
  <si>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</si>
  <si>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</si>
  <si>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</si>
  <si>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</si>
  <si>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</si>
  <si>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</si>
  <si>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</si>
  <si>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</si>
  <si>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</si>
  <si>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</si>
  <si>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</si>
  <si>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</si>
  <si>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</si>
  <si>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</si>
  <si>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</si>
  <si>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</si>
  <si>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</si>
  <si>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</si>
  <si>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</si>
  <si>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</si>
  <si>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</si>
  <si>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</si>
  <si>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</si>
  <si>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</si>
  <si>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</si>
  <si>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</si>
  <si>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</si>
  <si>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</si>
  <si>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</si>
  <si>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</si>
  <si>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</si>
  <si>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</si>
  <si>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</si>
  <si>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</si>
  <si>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</si>
  <si>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</si>
  <si>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</si>
  <si>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</si>
  <si>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</si>
  <si>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</si>
  <si>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</si>
  <si>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</si>
  <si>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</si>
  <si>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</si>
  <si>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</si>
  <si>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</si>
  <si>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</si>
  <si>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</si>
  <si>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</si>
  <si>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</si>
  <si>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</si>
  <si>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</si>
  <si>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</si>
  <si>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</si>
  <si>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</si>
  <si>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</si>
  <si>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</si>
  <si>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</si>
  <si>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</si>
  <si>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</si>
  <si>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</si>
  <si>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</si>
  <si>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</si>
  <si>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</si>
  <si>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</si>
  <si>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</si>
  <si>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</si>
  <si>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</si>
  <si>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</si>
  <si>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</si>
  <si>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</si>
  <si>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</si>
  <si>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</si>
  <si>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</si>
  <si>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</si>
  <si>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</si>
  <si>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</si>
  <si>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</si>
  <si>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</si>
  <si>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</si>
  <si>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</si>
  <si>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</si>
  <si>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</si>
  <si>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</si>
  <si>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</si>
  <si>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</si>
  <si>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</si>
  <si>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</si>
  <si>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</si>
  <si>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</si>
  <si>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</si>
  <si>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</si>
  <si>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</si>
  <si>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</si>
  <si>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</si>
  <si>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</si>
  <si>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</si>
  <si>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</si>
  <si>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</si>
  <si>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</si>
  <si>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</si>
  <si>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</si>
  <si>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</si>
  <si>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</si>
  <si>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</si>
  <si>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</si>
  <si>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</si>
  <si>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</si>
  <si>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</si>
  <si>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</si>
  <si>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</si>
  <si>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</si>
  <si>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</si>
  <si>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</si>
  <si>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</si>
  <si>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</si>
  <si>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</si>
  <si>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</si>
  <si>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</si>
  <si>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</si>
  <si>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</si>
  <si>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</si>
  <si>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</si>
  <si>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</si>
  <si>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</si>
  <si>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</si>
  <si>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</si>
  <si>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</si>
  <si>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</si>
  <si>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</si>
  <si>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</si>
  <si>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</si>
  <si>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</si>
  <si>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</si>
  <si>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</si>
  <si>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</si>
  <si>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</si>
  <si>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</si>
  <si>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</si>
  <si>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</si>
  <si>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</si>
  <si>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</si>
  <si>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</si>
  <si>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</si>
  <si>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</si>
  <si>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</si>
  <si>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</si>
  <si>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</si>
  <si>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</si>
  <si>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</si>
  <si>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</si>
  <si>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</si>
  <si>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</si>
  <si>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</si>
  <si>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</si>
  <si>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</si>
  <si>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</si>
  <si>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</si>
  <si>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</si>
  <si>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</si>
  <si>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</si>
  <si>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</si>
  <si>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</si>
  <si>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</si>
  <si>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</si>
  <si>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</si>
  <si>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</si>
  <si>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</si>
  <si>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</si>
  <si>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</si>
  <si>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</si>
  <si>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</si>
  <si>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</si>
  <si>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</si>
  <si>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</si>
  <si>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</si>
  <si>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</si>
  <si>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</si>
  <si>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</si>
  <si>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</si>
  <si>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</si>
  <si>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</si>
  <si>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</si>
  <si>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</si>
  <si>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</si>
  <si>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</si>
  <si>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</si>
  <si>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</si>
  <si>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</si>
  <si>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</si>
  <si>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</si>
  <si>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</si>
  <si>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</si>
  <si>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</si>
  <si>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</si>
  <si>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</si>
  <si>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</si>
  <si>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</si>
  <si>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</si>
  <si>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</si>
  <si>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</si>
  <si>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</si>
  <si>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</si>
  <si>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</si>
  <si>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</si>
  <si>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</si>
  <si>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</si>
  <si>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</si>
  <si>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</si>
  <si>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</si>
  <si>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</si>
  <si>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</si>
  <si>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</si>
  <si>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</si>
  <si>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</si>
  <si>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</si>
  <si>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</si>
  <si>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</si>
  <si>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</si>
  <si>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</si>
  <si>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</si>
  <si>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</si>
  <si>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</si>
  <si>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</si>
  <si>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</si>
  <si>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</si>
  <si>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</si>
  <si>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</si>
  <si>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</si>
  <si>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</si>
  <si>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</si>
  <si>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</si>
  <si>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</si>
  <si>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</si>
  <si>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</si>
  <si>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</si>
  <si>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</si>
  <si>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</si>
  <si>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</si>
  <si>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</si>
  <si>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</si>
  <si>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</si>
  <si>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</si>
  <si>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</si>
  <si>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</si>
  <si>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</si>
  <si>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</si>
  <si>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</si>
  <si>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</si>
  <si>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</si>
  <si>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</si>
  <si>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</si>
  <si>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</si>
  <si>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</si>
  <si>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</si>
  <si>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</si>
  <si>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</si>
  <si>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</si>
  <si>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</si>
  <si>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</si>
  <si>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</si>
  <si>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</si>
  <si>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</si>
  <si>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</si>
  <si>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</si>
  <si>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</si>
  <si>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</si>
  <si>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</si>
  <si>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</si>
  <si>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</si>
  <si>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</si>
  <si>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</si>
  <si>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</si>
  <si>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</si>
  <si>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</si>
  <si>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</si>
  <si>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</si>
  <si>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</si>
  <si>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</si>
  <si>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</si>
  <si>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</si>
  <si>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</si>
  <si>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</si>
  <si>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</si>
  <si>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</si>
  <si>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</si>
  <si>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</si>
  <si>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</si>
  <si>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</si>
  <si>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</si>
  <si>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</si>
  <si>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</si>
  <si>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</si>
  <si>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</si>
  <si>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</si>
  <si>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</si>
  <si>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</si>
  <si>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</si>
  <si>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</si>
  <si>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</si>
  <si>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</si>
  <si>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</si>
  <si>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</si>
  <si>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</si>
  <si>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</si>
  <si>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</si>
  <si>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</si>
  <si>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</si>
  <si>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</si>
  <si>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</si>
  <si>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</si>
  <si>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</si>
  <si>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</si>
  <si>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</si>
  <si>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</si>
  <si>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</si>
  <si>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</si>
  <si>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</si>
  <si>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</si>
  <si>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</si>
  <si>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</si>
  <si>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</si>
  <si>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</si>
  <si>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بدهی به داریوش 23/8/98</t>
  </si>
  <si>
    <t>25/8/1398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</si>
</sst>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I207" zoomScale="90" zoomScaleNormal="90" workbookViewId="0">
      <selection activeCell="S226" sqref="S22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5356</v>
      </c>
      <c r="J218" s="248">
        <f>L218-L217-400000</f>
        <v>-7352281</v>
      </c>
      <c r="K218" s="216" t="s">
        <v>5358</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5365</v>
      </c>
      <c r="L219" s="84">
        <v>999517682</v>
      </c>
      <c r="M219" s="84">
        <v>627640361</v>
      </c>
      <c r="N219" s="113">
        <f t="shared" si="55"/>
        <v>1627158043</v>
      </c>
      <c r="O219" s="113">
        <f t="shared" si="56"/>
        <v>-1762209</v>
      </c>
      <c r="P219" s="113">
        <f t="shared" si="57"/>
        <v>-5618611</v>
      </c>
      <c r="Q219" s="229">
        <v>0</v>
      </c>
    </row>
    <row r="220" spans="9:19">
      <c r="I220" s="189" t="s">
        <v>5368</v>
      </c>
      <c r="J220" s="188">
        <f t="shared" si="51"/>
        <v>30762624</v>
      </c>
      <c r="K220" s="189" t="s">
        <v>5367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5379</v>
      </c>
      <c r="J222" s="280">
        <f>L222-L221+7000000</f>
        <v>4431891</v>
      </c>
      <c r="K222" s="279" t="s">
        <v>5380</v>
      </c>
      <c r="L222" s="281">
        <v>1011364540</v>
      </c>
      <c r="M222" s="281">
        <v>634014280</v>
      </c>
      <c r="N222" s="280">
        <f t="shared" si="55"/>
        <v>1645378820</v>
      </c>
      <c r="O222" s="280">
        <f t="shared" si="56"/>
        <v>-1137902</v>
      </c>
      <c r="P222" s="280">
        <f>N222-N221+7000000</f>
        <v>3293989</v>
      </c>
      <c r="Q222" s="229">
        <v>-7000000</v>
      </c>
    </row>
    <row r="223" spans="9:19">
      <c r="I223" s="216" t="s">
        <v>5383</v>
      </c>
      <c r="J223" s="248">
        <f t="shared" si="51"/>
        <v>-12364540</v>
      </c>
      <c r="K223" s="216" t="s">
        <v>5382</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5385</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5386</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5387</v>
      </c>
      <c r="L226" s="84">
        <v>995000000</v>
      </c>
      <c r="M226" s="84">
        <v>625000000</v>
      </c>
      <c r="N226" s="113">
        <f t="shared" si="55"/>
        <v>1620000000</v>
      </c>
      <c r="O226" s="113">
        <f t="shared" si="56"/>
        <v>-2621912</v>
      </c>
      <c r="P226" s="113">
        <f t="shared" si="57"/>
        <v>-8262288</v>
      </c>
      <c r="Q226" s="229">
        <v>0</v>
      </c>
    </row>
    <row r="227" spans="9:19">
      <c r="I227" s="189" t="s">
        <v>5388</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5390</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5391</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5393</v>
      </c>
      <c r="L230" s="84">
        <v>981346829</v>
      </c>
      <c r="M230" s="84">
        <v>616768631</v>
      </c>
      <c r="N230" s="113">
        <f>L230+M230</f>
        <v>1598115460</v>
      </c>
      <c r="O230" s="113">
        <f t="shared" si="56"/>
        <v>-231369</v>
      </c>
      <c r="P230" s="113">
        <f t="shared" si="57"/>
        <v>-2584540</v>
      </c>
    </row>
    <row r="231" spans="9:19">
      <c r="I231" s="213"/>
      <c r="J231" s="113">
        <f t="shared" si="51"/>
        <v>-981346829</v>
      </c>
      <c r="K231" s="213"/>
      <c r="L231" s="84"/>
      <c r="M231" s="84"/>
      <c r="N231" s="113">
        <f t="shared" si="55"/>
        <v>0</v>
      </c>
      <c r="O231" s="113">
        <f t="shared" si="56"/>
        <v>-616768631</v>
      </c>
      <c r="P231" s="113">
        <f t="shared" si="57"/>
        <v>-1598115460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5358</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3</v>
      </c>
      <c r="R49" s="99"/>
      <c r="S49" s="96"/>
      <c r="T49" s="96"/>
    </row>
    <row r="50" spans="1:20">
      <c r="A50" s="96"/>
      <c r="B50" s="96"/>
      <c r="E50" s="96"/>
      <c r="F50" s="96"/>
      <c r="O50" s="99" t="s">
        <v>5358</v>
      </c>
      <c r="P50" s="18">
        <v>-1683146</v>
      </c>
      <c r="Q50" s="99">
        <v>10</v>
      </c>
      <c r="R50" s="99"/>
      <c r="S50" s="96"/>
      <c r="T50" s="96"/>
    </row>
    <row r="51" spans="1:20">
      <c r="A51" s="96"/>
      <c r="B51" s="96"/>
      <c r="E51" s="96"/>
      <c r="F51" s="96"/>
      <c r="O51" s="99" t="s">
        <v>5385</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5357</v>
      </c>
      <c r="I95" t="s">
        <v>25</v>
      </c>
    </row>
    <row r="96" spans="1:21">
      <c r="D96" s="18">
        <v>-230000</v>
      </c>
      <c r="E96" s="255" t="s">
        <v>5374</v>
      </c>
    </row>
    <row r="97" spans="4:10">
      <c r="D97" s="18">
        <v>-168950</v>
      </c>
      <c r="E97" s="255" t="s">
        <v>4402</v>
      </c>
      <c r="J97" t="s">
        <v>25</v>
      </c>
    </row>
    <row r="98" spans="4:10">
      <c r="D98" s="18">
        <v>-250000</v>
      </c>
      <c r="E98" s="255" t="s">
        <v>5389</v>
      </c>
    </row>
    <row r="99" spans="4:10">
      <c r="D99" s="18"/>
      <c r="E99" s="96"/>
    </row>
    <row r="100" spans="4:10">
      <c r="D100" s="18"/>
      <c r="E100" s="96" t="s">
        <v>25</v>
      </c>
    </row>
    <row r="101" spans="4:10">
      <c r="D101" s="18">
        <f>SUM(D40:D100)</f>
        <v>27631459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5352</v>
      </c>
      <c r="B335" s="113">
        <v>2200472</v>
      </c>
      <c r="C335" s="99">
        <v>1</v>
      </c>
      <c r="D335" s="99">
        <f t="shared" si="27"/>
        <v>13</v>
      </c>
      <c r="E335" s="99">
        <f t="shared" si="28"/>
        <v>0</v>
      </c>
      <c r="F335" s="99">
        <f t="shared" si="29"/>
        <v>28606136</v>
      </c>
      <c r="G335" s="99"/>
      <c r="H335" t="s">
        <v>25</v>
      </c>
    </row>
    <row r="336" spans="1:9">
      <c r="A336" s="99" t="s">
        <v>5364</v>
      </c>
      <c r="B336" s="113">
        <v>-28000</v>
      </c>
      <c r="C336" s="99">
        <v>2</v>
      </c>
      <c r="D336" s="99">
        <f t="shared" si="27"/>
        <v>12</v>
      </c>
      <c r="E336" s="99">
        <f t="shared" si="28"/>
        <v>1</v>
      </c>
      <c r="F336" s="99">
        <f t="shared" si="29"/>
        <v>-308000</v>
      </c>
      <c r="G336" s="99"/>
    </row>
    <row r="337" spans="1:13">
      <c r="A337" s="99" t="s">
        <v>5358</v>
      </c>
      <c r="B337" s="113">
        <v>2500000</v>
      </c>
      <c r="C337" s="99">
        <v>0</v>
      </c>
      <c r="D337" s="99">
        <f t="shared" si="27"/>
        <v>10</v>
      </c>
      <c r="E337" s="99">
        <f t="shared" si="28"/>
        <v>0</v>
      </c>
      <c r="F337" s="99">
        <f t="shared" si="29"/>
        <v>25000000</v>
      </c>
      <c r="G337" s="99"/>
    </row>
    <row r="338" spans="1:13">
      <c r="A338" s="99" t="s">
        <v>5358</v>
      </c>
      <c r="B338" s="113">
        <v>-407500</v>
      </c>
      <c r="C338" s="99">
        <v>2</v>
      </c>
      <c r="D338" s="99">
        <f t="shared" si="27"/>
        <v>10</v>
      </c>
      <c r="E338" s="99">
        <f t="shared" si="28"/>
        <v>0</v>
      </c>
      <c r="F338" s="99">
        <f t="shared" si="29"/>
        <v>-4075000</v>
      </c>
      <c r="G338" s="99"/>
    </row>
    <row r="339" spans="1:13">
      <c r="A339" s="99" t="s">
        <v>5365</v>
      </c>
      <c r="B339" s="113">
        <v>-3600</v>
      </c>
      <c r="C339" s="99">
        <v>1</v>
      </c>
      <c r="D339" s="99">
        <f t="shared" si="27"/>
        <v>8</v>
      </c>
      <c r="E339" s="99">
        <f t="shared" si="28"/>
        <v>0</v>
      </c>
      <c r="F339" s="99">
        <f t="shared" si="29"/>
        <v>-28800</v>
      </c>
      <c r="G339" s="99"/>
    </row>
    <row r="340" spans="1:13">
      <c r="A340" s="99" t="s">
        <v>5376</v>
      </c>
      <c r="B340" s="113">
        <v>-170094</v>
      </c>
      <c r="C340" s="99">
        <v>1</v>
      </c>
      <c r="D340" s="99">
        <f t="shared" si="27"/>
        <v>7</v>
      </c>
      <c r="E340" s="99">
        <f t="shared" si="28"/>
        <v>0</v>
      </c>
      <c r="F340" s="99">
        <f t="shared" si="29"/>
        <v>-1190658</v>
      </c>
      <c r="G340" s="99"/>
      <c r="J340" t="s">
        <v>25</v>
      </c>
    </row>
    <row r="341" spans="1:13">
      <c r="A341" s="99" t="s">
        <v>5367</v>
      </c>
      <c r="B341" s="113">
        <v>-51730</v>
      </c>
      <c r="C341" s="99">
        <v>1</v>
      </c>
      <c r="D341" s="99">
        <f t="shared" si="27"/>
        <v>6</v>
      </c>
      <c r="E341" s="99">
        <f t="shared" si="28"/>
        <v>0</v>
      </c>
      <c r="F341" s="99">
        <f t="shared" si="29"/>
        <v>-310380</v>
      </c>
      <c r="G341" s="99"/>
    </row>
    <row r="342" spans="1:13">
      <c r="A342" s="99" t="s">
        <v>5377</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5380</v>
      </c>
      <c r="B345" s="113">
        <v>-566500</v>
      </c>
      <c r="C345" s="99">
        <v>1</v>
      </c>
      <c r="D345" s="99">
        <f t="shared" si="27"/>
        <v>2</v>
      </c>
      <c r="E345" s="99">
        <f t="shared" si="28"/>
        <v>0</v>
      </c>
      <c r="F345" s="99">
        <f t="shared" si="29"/>
        <v>-1133000</v>
      </c>
      <c r="G345" s="99"/>
      <c r="K345" t="s">
        <v>25</v>
      </c>
    </row>
    <row r="346" spans="1:13">
      <c r="A346" s="99" t="s">
        <v>5382</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H79"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769107358.80490983</v>
      </c>
      <c r="M21" s="168" t="s">
        <v>4292</v>
      </c>
      <c r="N21" s="113">
        <f t="shared" ref="N21:N25" si="9">O21*P21</f>
        <v>491480318.59999996</v>
      </c>
      <c r="O21" s="99">
        <v>1638814</v>
      </c>
      <c r="P21" s="185">
        <f>P47</f>
        <v>299.89999999999998</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3577871.9999999995</v>
      </c>
      <c r="O22" s="99">
        <v>655</v>
      </c>
      <c r="P22" s="185">
        <f>P44</f>
        <v>5462.4</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5168947.7</v>
      </c>
      <c r="O23" s="99">
        <v>791</v>
      </c>
      <c r="P23" s="185">
        <f>P46</f>
        <v>6534.7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658331084.2049098</v>
      </c>
      <c r="G24" s="95">
        <f t="shared" si="0"/>
        <v>-378024738.82297117</v>
      </c>
      <c r="H24" s="11"/>
      <c r="I24" s="96"/>
      <c r="J24" s="96"/>
      <c r="K24" s="213"/>
      <c r="L24" s="117"/>
      <c r="M24" s="213" t="s">
        <v>5215</v>
      </c>
      <c r="N24" s="113">
        <f t="shared" si="9"/>
        <v>0</v>
      </c>
      <c r="O24" s="99">
        <v>0</v>
      </c>
      <c r="P24" s="185">
        <f>P48</f>
        <v>3200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-27631459</v>
      </c>
      <c r="M25" s="213" t="s">
        <v>4398</v>
      </c>
      <c r="N25" s="113">
        <f t="shared" si="9"/>
        <v>123705831.2</v>
      </c>
      <c r="O25" s="99">
        <v>156808</v>
      </c>
      <c r="P25" s="185">
        <f>P45</f>
        <v>788.9</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1584111.2</v>
      </c>
      <c r="O28" s="69">
        <v>2008</v>
      </c>
      <c r="P28" s="99">
        <f>P45</f>
        <v>788.9</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338668.79999999999</v>
      </c>
      <c r="O29" s="69">
        <v>62</v>
      </c>
      <c r="P29" s="99">
        <f>P44</f>
        <v>5462.4</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8240256.7000000002</v>
      </c>
      <c r="O30" s="69">
        <v>1261</v>
      </c>
      <c r="P30" s="99">
        <f>P46</f>
        <v>6534.7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116523445.89999999</v>
      </c>
      <c r="O31" s="69">
        <v>388541</v>
      </c>
      <c r="P31" s="99">
        <f>P47</f>
        <v>299.89999999999998</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-769107358.80490983</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-3692071</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5373</v>
      </c>
      <c r="L44" s="117">
        <f>-22884*P47</f>
        <v>-6862911.5999999996</v>
      </c>
      <c r="M44" s="21" t="s">
        <v>4380</v>
      </c>
      <c r="N44" s="117">
        <f t="shared" ref="N44:N50" si="16">O44*P44</f>
        <v>284044.79999999999</v>
      </c>
      <c r="O44" s="69">
        <v>52</v>
      </c>
      <c r="P44" s="69">
        <v>5462.4</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-14460000</v>
      </c>
      <c r="M45" s="19" t="s">
        <v>4398</v>
      </c>
      <c r="N45" s="117">
        <f t="shared" si="16"/>
        <v>73158641.5</v>
      </c>
      <c r="O45" s="69">
        <v>92735</v>
      </c>
      <c r="P45" s="69">
        <v>788.9</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21995800.199999999</v>
      </c>
      <c r="O46" s="69">
        <v>3366</v>
      </c>
      <c r="P46" s="69">
        <v>6534.7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5372</v>
      </c>
      <c r="L47" s="117">
        <f>130165*P47</f>
        <v>39036483.5</v>
      </c>
      <c r="M47" s="19" t="s">
        <v>4174</v>
      </c>
      <c r="N47" s="113">
        <f t="shared" si="16"/>
        <v>896739687.0999999</v>
      </c>
      <c r="O47" s="99">
        <v>2990129</v>
      </c>
      <c r="P47" s="99">
        <v>299.89999999999998</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3200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5392</v>
      </c>
      <c r="L49" s="117">
        <v>-100000</v>
      </c>
      <c r="M49" s="21" t="s">
        <v>1083</v>
      </c>
      <c r="N49" s="117">
        <f t="shared" si="16"/>
        <v>0</v>
      </c>
      <c r="O49" s="69">
        <v>0</v>
      </c>
      <c r="P49" s="69">
        <v>415000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12050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5363</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-S199</f>
        <v>-24040434.142973412</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658331084.2049098</v>
      </c>
      <c r="M60" s="168"/>
      <c r="N60" s="113">
        <f>SUM(N16:N59)</f>
        <v>889656201.75211668</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758331084.2049098</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5358</v>
      </c>
      <c r="S72" s="197">
        <f>S71-3</f>
        <v>-13</v>
      </c>
      <c r="T72" s="213" t="s">
        <v>5361</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5375</v>
      </c>
      <c r="O73" t="s">
        <v>25</v>
      </c>
      <c r="P73" s="115"/>
      <c r="Q73" s="169">
        <v>459771</v>
      </c>
      <c r="R73" s="213" t="s">
        <v>5358</v>
      </c>
      <c r="S73" s="197">
        <f>S72</f>
        <v>-13</v>
      </c>
      <c r="T73" s="213" t="s">
        <v>5362</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1504743451.5999999</v>
      </c>
      <c r="P74" s="115"/>
      <c r="Q74" s="169">
        <v>101835</v>
      </c>
      <c r="R74" s="213" t="s">
        <v>5365</v>
      </c>
      <c r="S74" s="197">
        <f>S73-2</f>
        <v>-15</v>
      </c>
      <c r="T74" s="213" t="s">
        <v>5366</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5367</v>
      </c>
      <c r="S75" s="197">
        <f>S74-2</f>
        <v>-17</v>
      </c>
      <c r="T75" s="213" t="s">
        <v>5370</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5382</v>
      </c>
      <c r="S76" s="197">
        <f>S75-5</f>
        <v>-22</v>
      </c>
      <c r="T76" s="213" t="s">
        <v>5384</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194635175.5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13837.945981993998</v>
      </c>
      <c r="G102" s="199">
        <f>P47</f>
        <v>299.89999999999998</v>
      </c>
      <c r="H102" s="199" t="s">
        <v>4773</v>
      </c>
      <c r="I102" s="199" t="s">
        <v>4772</v>
      </c>
      <c r="J102" s="214" t="s">
        <v>4234</v>
      </c>
      <c r="K102" s="199">
        <v>175</v>
      </c>
      <c r="L102" s="215">
        <f t="shared" ref="L102:L107" si="28">K102*$L$110</f>
        <v>726250000</v>
      </c>
      <c r="M102" s="215">
        <f>N21+N31+N47</f>
        <v>1504743451.5999999</v>
      </c>
      <c r="N102" s="183">
        <f t="shared" ref="N102:N106" si="29">L102-M102</f>
        <v>-778493451.5999999</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5260.4892888832555</v>
      </c>
      <c r="G105" s="213">
        <f>P45</f>
        <v>788.9</v>
      </c>
      <c r="H105" s="213" t="s">
        <v>4665</v>
      </c>
      <c r="I105" s="213" t="s">
        <v>4664</v>
      </c>
      <c r="J105" s="32" t="s">
        <v>4398</v>
      </c>
      <c r="K105" s="213">
        <v>43</v>
      </c>
      <c r="L105" s="1">
        <f t="shared" si="28"/>
        <v>178450000</v>
      </c>
      <c r="M105" s="1">
        <f>N45+N25</f>
        <v>196864472.69999999</v>
      </c>
      <c r="N105" s="113">
        <f t="shared" si="29"/>
        <v>-18414472.699999988</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4150000</v>
      </c>
      <c r="M106" s="215">
        <f>0</f>
        <v>0</v>
      </c>
      <c r="N106" s="183">
        <f t="shared" si="29"/>
        <v>4150000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5378</v>
      </c>
      <c r="K107" s="191">
        <v>183</v>
      </c>
      <c r="L107" s="258">
        <f t="shared" si="28"/>
        <v>759450000</v>
      </c>
      <c r="M107" s="258">
        <v>0</v>
      </c>
      <c r="N107" s="86">
        <f>L107-M107</f>
        <v>759450000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402</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4150000</v>
      </c>
      <c r="M110" s="1">
        <f>K110*L110</f>
        <v>0</v>
      </c>
      <c r="N110" s="113">
        <f>SUM(N102:N108)-M110</f>
        <v>-3307924.2999999523</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5349</v>
      </c>
      <c r="S112" s="197">
        <f>S111-8</f>
        <v>-8</v>
      </c>
      <c r="T112" s="189" t="s">
        <v>5351</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5367</v>
      </c>
      <c r="S113" s="197">
        <f>S112-9</f>
        <v>-17</v>
      </c>
      <c r="T113" s="189" t="s">
        <v>5369</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34868662.599999994</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299.89999999999998</v>
      </c>
      <c r="H119" s="213" t="s">
        <v>4234</v>
      </c>
      <c r="I119" s="213">
        <v>129827</v>
      </c>
      <c r="J119" s="1">
        <f>I119*G119</f>
        <v>38935117.299999997</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788.9</v>
      </c>
      <c r="H120" s="213" t="s">
        <v>4398</v>
      </c>
      <c r="I120" s="213">
        <v>1205</v>
      </c>
      <c r="J120" s="1">
        <f t="shared" ref="J120:J121" si="33">I120*G120</f>
        <v>950624.5</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6534.7</v>
      </c>
      <c r="H121" s="213" t="s">
        <v>4384</v>
      </c>
      <c r="I121" s="213">
        <v>1399</v>
      </c>
      <c r="J121" s="1">
        <f t="shared" si="33"/>
        <v>9142045.2999999989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29105372.099999994</v>
      </c>
      <c r="J123" s="1">
        <f>SUM(J119:J122)</f>
        <v>49027787.099999994</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299.89999999999998</v>
      </c>
      <c r="H127" s="213" t="s">
        <v>4234</v>
      </c>
      <c r="I127" s="213">
        <v>50896</v>
      </c>
      <c r="J127" s="1">
        <f>G127*I127</f>
        <v>15263710.399999999</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788.9</v>
      </c>
      <c r="H128" s="213" t="s">
        <v>4398</v>
      </c>
      <c r="I128" s="213">
        <v>2304</v>
      </c>
      <c r="J128" s="1">
        <f t="shared" ref="J128:J129" si="40">G128*I128</f>
        <v>1817625.5999999999</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5462.4</v>
      </c>
      <c r="H129" s="213" t="s">
        <v>4380</v>
      </c>
      <c r="I129" s="213">
        <v>715</v>
      </c>
      <c r="J129" s="1">
        <f t="shared" si="40"/>
        <v>3905615.9999999995</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4667809</v>
      </c>
      <c r="J131" s="1">
        <f>SUM(J127:J130)</f>
        <v>20986952</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5371</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299.89999999999998</v>
      </c>
      <c r="H135" s="213" t="s">
        <v>4234</v>
      </c>
      <c r="I135" s="213">
        <v>46582</v>
      </c>
      <c r="J135" s="1">
        <f>G135*I135</f>
        <v>13969941.799999999</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4174941.799999997</v>
      </c>
      <c r="J137" s="1">
        <f>SUM(J135:J136)</f>
        <v>23969941.799999997</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299.89999999999998</v>
      </c>
      <c r="H141" s="99" t="s">
        <v>4234</v>
      </c>
      <c r="I141" s="99">
        <v>39042</v>
      </c>
      <c r="J141" s="1">
        <f>G141*I141</f>
        <v>11708695.799999999</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6534.7</v>
      </c>
      <c r="H142" s="99" t="s">
        <v>4384</v>
      </c>
      <c r="I142" s="99">
        <v>1150</v>
      </c>
      <c r="J142" s="1">
        <f>G142*I142</f>
        <v>7514905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-776399.20000000298</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4"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5381</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6" si="53">V181*(1+$W$19/100)</f>
        <v>7004.2848328109594</v>
      </c>
      <c r="X181" s="32">
        <f t="shared" ref="X181:X186" si="54">V181*(1+$X$19/100)</f>
        <v>7141.6237511013705</v>
      </c>
      <c r="Y181" t="s">
        <v>25</v>
      </c>
      <c r="AH181" s="99">
        <v>161</v>
      </c>
      <c r="AI181" s="113" t="s">
        <v>5128</v>
      </c>
      <c r="AJ181" s="113">
        <v>249000</v>
      </c>
      <c r="AK181" s="99">
        <v>9</v>
      </c>
      <c r="AL181" s="20">
        <f t="shared" si="51"/>
        <v>86</v>
      </c>
      <c r="AM181" s="117">
        <f t="shared" si="52"/>
        <v>21414000</v>
      </c>
      <c r="AN181" s="20"/>
    </row>
    <row r="182" spans="17:44">
      <c r="Q182" s="169">
        <v>678687</v>
      </c>
      <c r="R182" s="213" t="s">
        <v>5340</v>
      </c>
      <c r="S182" s="213">
        <f>S181</f>
        <v>-7</v>
      </c>
      <c r="T182" s="213" t="s">
        <v>5348</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129187</v>
      </c>
      <c r="R183" s="213" t="s">
        <v>5358</v>
      </c>
      <c r="S183" s="213">
        <f>S182-6</f>
        <v>-13</v>
      </c>
      <c r="T183" s="213" t="s">
        <v>5359</v>
      </c>
      <c r="U183" s="213">
        <v>6430.2</v>
      </c>
      <c r="V183" s="99">
        <f t="shared" si="46"/>
        <v>6463.813209863014</v>
      </c>
      <c r="W183" s="32">
        <f t="shared" si="53"/>
        <v>6593.0894740602744</v>
      </c>
      <c r="X183" s="32">
        <f t="shared" si="54"/>
        <v>6722.3657382575348</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278792</v>
      </c>
      <c r="R184" s="213" t="s">
        <v>5358</v>
      </c>
      <c r="S184" s="213">
        <f>S183</f>
        <v>-13</v>
      </c>
      <c r="T184" s="213" t="s">
        <v>5360</v>
      </c>
      <c r="U184" s="213">
        <v>5550.1</v>
      </c>
      <c r="V184" s="99">
        <f t="shared" si="46"/>
        <v>5579.112577534248</v>
      </c>
      <c r="W184" s="32">
        <f t="shared" si="53"/>
        <v>5690.6948290849332</v>
      </c>
      <c r="X184" s="32">
        <f t="shared" si="54"/>
        <v>5802.2770806356184</v>
      </c>
      <c r="AH184" s="99">
        <v>164</v>
      </c>
      <c r="AI184" s="113" t="s">
        <v>5172</v>
      </c>
      <c r="AJ184" s="113">
        <v>50000</v>
      </c>
      <c r="AK184" s="99">
        <v>6</v>
      </c>
      <c r="AL184" s="20">
        <f t="shared" si="57"/>
        <v>70</v>
      </c>
      <c r="AM184" s="117">
        <f t="shared" si="58"/>
        <v>3500000</v>
      </c>
      <c r="AN184" s="20"/>
      <c r="AR184" t="s">
        <v>25</v>
      </c>
    </row>
    <row r="185" spans="17:44">
      <c r="Q185" s="169"/>
      <c r="R185" s="213"/>
      <c r="S185" s="213"/>
      <c r="T185" s="213"/>
      <c r="U185" s="213"/>
      <c r="V185" s="99"/>
      <c r="W185" s="32"/>
      <c r="X185" s="32"/>
      <c r="AH185" s="99">
        <v>165</v>
      </c>
      <c r="AI185" s="113" t="s">
        <v>5186</v>
      </c>
      <c r="AJ185" s="113">
        <v>-200000</v>
      </c>
      <c r="AK185" s="99">
        <v>0</v>
      </c>
      <c r="AL185" s="20">
        <f t="shared" si="57"/>
        <v>64</v>
      </c>
      <c r="AM185" s="117">
        <f t="shared" si="58"/>
        <v>-12800000</v>
      </c>
      <c r="AN185" s="20" t="s">
        <v>5187</v>
      </c>
    </row>
    <row r="186" spans="17:44">
      <c r="Q186" s="169"/>
      <c r="R186" s="168"/>
      <c r="S186" s="168"/>
      <c r="T186" s="168"/>
      <c r="U186" s="168"/>
      <c r="V186" s="99">
        <f>U186*(1+$R$119+$Q$15*S186/36500)</f>
        <v>0</v>
      </c>
      <c r="W186" s="32">
        <f t="shared" si="53"/>
        <v>0</v>
      </c>
      <c r="X186" s="32">
        <f t="shared" si="54"/>
        <v>0</v>
      </c>
      <c r="AH186" s="99">
        <v>166</v>
      </c>
      <c r="AI186" s="113" t="s">
        <v>5186</v>
      </c>
      <c r="AJ186" s="113">
        <v>200000</v>
      </c>
      <c r="AK186" s="99">
        <v>3</v>
      </c>
      <c r="AL186" s="20">
        <f t="shared" si="57"/>
        <v>64</v>
      </c>
      <c r="AM186" s="117">
        <f t="shared" si="58"/>
        <v>12800000</v>
      </c>
      <c r="AN186" s="20"/>
      <c r="AQ186" t="s">
        <v>25</v>
      </c>
      <c r="AR186" t="s">
        <v>25</v>
      </c>
    </row>
    <row r="187" spans="17:44">
      <c r="Q187" s="113">
        <f>SUM(N44:N49)-SUM(Q123:Q186)</f>
        <v>325712394.5999999</v>
      </c>
      <c r="R187" s="112"/>
      <c r="S187" s="112"/>
      <c r="T187" s="112"/>
      <c r="U187" s="168"/>
      <c r="V187" s="99" t="s">
        <v>25</v>
      </c>
      <c r="W187" s="32"/>
      <c r="X187" s="32"/>
      <c r="Z187" t="s">
        <v>25</v>
      </c>
      <c r="AH187" s="99">
        <v>167</v>
      </c>
      <c r="AI187" s="113" t="s">
        <v>5195</v>
      </c>
      <c r="AJ187" s="113">
        <v>200000</v>
      </c>
      <c r="AK187" s="99">
        <v>3</v>
      </c>
      <c r="AL187" s="20">
        <f t="shared" si="57"/>
        <v>61</v>
      </c>
      <c r="AM187" s="117">
        <f t="shared" si="58"/>
        <v>12200000</v>
      </c>
      <c r="AN187" s="20"/>
    </row>
    <row r="188" spans="17:44">
      <c r="Q188" s="26"/>
      <c r="R188" s="181"/>
      <c r="S188" s="181"/>
      <c r="T188" t="s">
        <v>25</v>
      </c>
      <c r="U188" s="96" t="s">
        <v>25</v>
      </c>
      <c r="V188" s="96" t="s">
        <v>25</v>
      </c>
      <c r="W188" s="96" t="s">
        <v>25</v>
      </c>
      <c r="AH188" s="99">
        <v>168</v>
      </c>
      <c r="AI188" s="113" t="s">
        <v>5200</v>
      </c>
      <c r="AJ188" s="113">
        <v>30000</v>
      </c>
      <c r="AK188" s="99">
        <v>7</v>
      </c>
      <c r="AL188" s="20">
        <f t="shared" si="57"/>
        <v>58</v>
      </c>
      <c r="AM188" s="117">
        <f t="shared" si="58"/>
        <v>1740000</v>
      </c>
      <c r="AN188" s="20"/>
    </row>
    <row r="189" spans="17:44">
      <c r="R189" s="32" t="s">
        <v>4557</v>
      </c>
      <c r="S189" s="32" t="s">
        <v>948</v>
      </c>
      <c r="T189" t="s">
        <v>25</v>
      </c>
      <c r="U189" s="96" t="s">
        <v>25</v>
      </c>
      <c r="V189" s="96" t="s">
        <v>25</v>
      </c>
      <c r="W189" s="96" t="s">
        <v>25</v>
      </c>
      <c r="X189" s="122" t="s">
        <v>25</v>
      </c>
      <c r="AH189" s="99">
        <v>169</v>
      </c>
      <c r="AI189" s="113" t="s">
        <v>5147</v>
      </c>
      <c r="AJ189" s="113">
        <v>-10000000</v>
      </c>
      <c r="AK189" s="99">
        <v>0</v>
      </c>
      <c r="AL189" s="20">
        <f t="shared" si="57"/>
        <v>51</v>
      </c>
      <c r="AM189" s="117">
        <f t="shared" si="58"/>
        <v>-510000000</v>
      </c>
      <c r="AN189" s="20" t="s">
        <v>5092</v>
      </c>
    </row>
    <row r="190" spans="17:44">
      <c r="R190" s="32">
        <v>190900</v>
      </c>
      <c r="S190" s="234">
        <v>46292168</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Q191" t="s">
        <v>25</v>
      </c>
      <c r="R191" s="32">
        <v>2000</v>
      </c>
      <c r="S191" s="1">
        <f>S190*R191/R190</f>
        <v>484988.66422210581</v>
      </c>
      <c r="U191" s="96" t="s">
        <v>25</v>
      </c>
      <c r="V191" s="122" t="s">
        <v>25</v>
      </c>
      <c r="W191" s="96"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f>R190-R191</f>
        <v>188900</v>
      </c>
      <c r="S192" s="1">
        <f>R192*S190/R190</f>
        <v>45807179.335777894</v>
      </c>
      <c r="T192" t="s">
        <v>25</v>
      </c>
      <c r="U192" s="122" t="s">
        <v>25</v>
      </c>
      <c r="V192" s="96"/>
      <c r="W192" s="122" t="s">
        <v>25</v>
      </c>
      <c r="X192" t="s">
        <v>25</v>
      </c>
      <c r="AH192" s="99">
        <v>172</v>
      </c>
      <c r="AI192" s="113" t="s">
        <v>5280</v>
      </c>
      <c r="AJ192" s="113">
        <v>400000</v>
      </c>
      <c r="AK192" s="99">
        <v>1</v>
      </c>
      <c r="AL192" s="20">
        <f t="shared" si="59"/>
        <v>36</v>
      </c>
      <c r="AM192" s="117">
        <f t="shared" si="60"/>
        <v>14400000</v>
      </c>
      <c r="AN192" s="20"/>
    </row>
    <row r="193" spans="15:45">
      <c r="V193" s="96"/>
      <c r="W193"/>
      <c r="X193" t="s">
        <v>25</v>
      </c>
      <c r="AH193" s="99">
        <v>173</v>
      </c>
      <c r="AI193" s="113" t="s">
        <v>5286</v>
      </c>
      <c r="AJ193" s="113">
        <v>-100000</v>
      </c>
      <c r="AK193" s="99">
        <v>1</v>
      </c>
      <c r="AL193" s="20">
        <f t="shared" si="59"/>
        <v>35</v>
      </c>
      <c r="AM193" s="117">
        <f t="shared" si="60"/>
        <v>-3500000</v>
      </c>
      <c r="AN193" s="20"/>
    </row>
    <row r="194" spans="15:45">
      <c r="Q194" s="99" t="s">
        <v>4448</v>
      </c>
      <c r="R194" s="99" t="s">
        <v>4450</v>
      </c>
      <c r="S194" s="99"/>
      <c r="T194" s="99" t="s">
        <v>4451</v>
      </c>
      <c r="U194" s="99"/>
      <c r="V194" s="99"/>
      <c r="W194" s="99" t="s">
        <v>4560</v>
      </c>
      <c r="AH194" s="99">
        <v>174</v>
      </c>
      <c r="AI194" s="113" t="s">
        <v>5291</v>
      </c>
      <c r="AJ194" s="113">
        <v>10000000</v>
      </c>
      <c r="AK194" s="99">
        <v>1</v>
      </c>
      <c r="AL194" s="20">
        <f t="shared" si="59"/>
        <v>34</v>
      </c>
      <c r="AM194" s="117">
        <f t="shared" si="60"/>
        <v>340000000</v>
      </c>
      <c r="AN194" s="20" t="s">
        <v>4746</v>
      </c>
      <c r="AS194" t="s">
        <v>25</v>
      </c>
    </row>
    <row r="195" spans="15:45">
      <c r="P195">
        <f>R199-123</f>
        <v>50269</v>
      </c>
      <c r="Q195" s="113">
        <v>1000</v>
      </c>
      <c r="R195" s="99">
        <v>0.25</v>
      </c>
      <c r="S195" s="99"/>
      <c r="T195" s="99">
        <f>1-R195</f>
        <v>0.75</v>
      </c>
      <c r="U195" s="99"/>
      <c r="V195" s="99"/>
      <c r="W195" s="99"/>
      <c r="AH195" s="99">
        <v>175</v>
      </c>
      <c r="AI195" s="113" t="s">
        <v>5300</v>
      </c>
      <c r="AJ195" s="113">
        <v>-400000</v>
      </c>
      <c r="AK195" s="99">
        <v>6</v>
      </c>
      <c r="AL195" s="20">
        <f t="shared" ref="AL195:AL203" si="61">AL196+AK195</f>
        <v>33</v>
      </c>
      <c r="AM195" s="117">
        <f t="shared" ref="AM195:AM203" si="62">AJ195*AL195</f>
        <v>-13200000</v>
      </c>
      <c r="AN195" s="20"/>
    </row>
    <row r="196" spans="15:45">
      <c r="Q196" s="168" t="s">
        <v>4435</v>
      </c>
      <c r="R196" s="168" t="s">
        <v>4453</v>
      </c>
      <c r="S196" s="168" t="s">
        <v>4454</v>
      </c>
      <c r="T196" s="168"/>
      <c r="U196" s="168" t="s">
        <v>4449</v>
      </c>
      <c r="V196" s="56" t="s">
        <v>4452</v>
      </c>
      <c r="W196" s="99"/>
      <c r="X196" s="8" t="s">
        <v>25</v>
      </c>
      <c r="AH196" s="99">
        <v>176</v>
      </c>
      <c r="AI196" s="113" t="s">
        <v>5312</v>
      </c>
      <c r="AJ196" s="113">
        <v>1300000</v>
      </c>
      <c r="AK196" s="99">
        <v>0</v>
      </c>
      <c r="AL196" s="20">
        <f t="shared" si="61"/>
        <v>27</v>
      </c>
      <c r="AM196" s="117">
        <f t="shared" si="62"/>
        <v>35100000</v>
      </c>
      <c r="AN196" s="20"/>
      <c r="AR196" t="s">
        <v>25</v>
      </c>
    </row>
    <row r="197" spans="15:45">
      <c r="P197" s="114"/>
      <c r="Q197" s="168" t="s">
        <v>750</v>
      </c>
      <c r="R197" s="56">
        <v>1753091</v>
      </c>
      <c r="S197" s="113">
        <f>R197*$T$354</f>
        <v>836344434.27804816</v>
      </c>
      <c r="T197" s="168"/>
      <c r="U197" s="168">
        <f>$Q$195*$T$195*S197/$R$224</f>
        <v>359.85771476006488</v>
      </c>
      <c r="V197" s="95">
        <f>S197+U197</f>
        <v>836344794.13576293</v>
      </c>
      <c r="W197" s="99">
        <f>R197*100/U351</f>
        <v>47.981028634675319</v>
      </c>
      <c r="X197" s="217"/>
      <c r="Y197" t="s">
        <v>25</v>
      </c>
      <c r="AH197" s="99">
        <v>177</v>
      </c>
      <c r="AI197" s="113" t="s">
        <v>5312</v>
      </c>
      <c r="AJ197" s="113">
        <v>230000</v>
      </c>
      <c r="AK197" s="99">
        <v>1</v>
      </c>
      <c r="AL197" s="20">
        <f t="shared" si="61"/>
        <v>27</v>
      </c>
      <c r="AM197" s="117">
        <f t="shared" si="62"/>
        <v>6210000</v>
      </c>
      <c r="AN197" s="20"/>
    </row>
    <row r="198" spans="15:45">
      <c r="O198" t="s">
        <v>25</v>
      </c>
      <c r="P198" s="114"/>
      <c r="Q198" s="168" t="s">
        <v>4437</v>
      </c>
      <c r="R198" s="56">
        <v>1612153</v>
      </c>
      <c r="S198" s="113">
        <f>R198*$T$354</f>
        <v>769107358.80490983</v>
      </c>
      <c r="T198" s="168"/>
      <c r="U198" s="213">
        <f>$Q$195*$T$195*S198/$R$224</f>
        <v>330.92731319913389</v>
      </c>
      <c r="V198" s="95">
        <f t="shared" ref="V198:V199" si="63">S198+U198</f>
        <v>769107689.73222303</v>
      </c>
      <c r="W198" s="99">
        <f>R198*100/U351</f>
        <v>44.123641759884521</v>
      </c>
      <c r="X198" s="115"/>
      <c r="AH198" s="99">
        <v>178</v>
      </c>
      <c r="AI198" s="113" t="s">
        <v>5318</v>
      </c>
      <c r="AJ198" s="113">
        <v>880000</v>
      </c>
      <c r="AK198" s="99">
        <v>4</v>
      </c>
      <c r="AL198" s="20">
        <f t="shared" si="61"/>
        <v>26</v>
      </c>
      <c r="AM198" s="117">
        <f t="shared" si="62"/>
        <v>22880000</v>
      </c>
      <c r="AN198" s="20"/>
    </row>
    <row r="199" spans="15:45">
      <c r="P199" s="114"/>
      <c r="Q199" s="168" t="s">
        <v>4436</v>
      </c>
      <c r="R199" s="56">
        <v>50392</v>
      </c>
      <c r="S199" s="113">
        <f>R199*$T$354</f>
        <v>24040434.142973412</v>
      </c>
      <c r="T199" s="168"/>
      <c r="U199" s="213">
        <f>$Q$195*$T$195*S199/$R$224</f>
        <v>10.343986685339889</v>
      </c>
      <c r="V199" s="95">
        <f t="shared" si="63"/>
        <v>24040444.486960098</v>
      </c>
      <c r="W199" s="99">
        <f>R199*100/U351</f>
        <v>1.3791982247119852</v>
      </c>
      <c r="X199" s="115"/>
      <c r="AH199" s="99">
        <v>179</v>
      </c>
      <c r="AI199" s="113" t="s">
        <v>5323</v>
      </c>
      <c r="AJ199" s="113">
        <v>-900000</v>
      </c>
      <c r="AK199" s="99">
        <v>1</v>
      </c>
      <c r="AL199" s="20">
        <f t="shared" si="61"/>
        <v>22</v>
      </c>
      <c r="AM199" s="117">
        <f t="shared" si="62"/>
        <v>-19800000</v>
      </c>
      <c r="AN199" s="20"/>
    </row>
    <row r="200" spans="15:45">
      <c r="P200" s="114"/>
      <c r="Q200" s="168" t="s">
        <v>1084</v>
      </c>
      <c r="R200" s="56">
        <v>238081</v>
      </c>
      <c r="S200" s="113">
        <f>R200*$T$354</f>
        <v>113580937.47406836</v>
      </c>
      <c r="T200" s="168"/>
      <c r="U200" s="213">
        <f>$Q$195*$T$195*S200/$R$224</f>
        <v>48.870985355461301</v>
      </c>
      <c r="V200" s="95">
        <f>S200+U200</f>
        <v>113580986.34505372</v>
      </c>
      <c r="W200" s="99">
        <f>R200*100/U351</f>
        <v>6.5161313807281731</v>
      </c>
      <c r="X200" s="115"/>
      <c r="AH200" s="99">
        <v>180</v>
      </c>
      <c r="AI200" s="113" t="s">
        <v>990</v>
      </c>
      <c r="AJ200" s="113">
        <v>-3500000</v>
      </c>
      <c r="AK200" s="99">
        <v>1</v>
      </c>
      <c r="AL200" s="20">
        <f t="shared" si="61"/>
        <v>21</v>
      </c>
      <c r="AM200" s="117">
        <f t="shared" si="62"/>
        <v>-73500000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168"/>
      <c r="R202" s="168"/>
      <c r="S202" s="168"/>
      <c r="T202" s="168"/>
      <c r="U202" s="168"/>
      <c r="V202" s="168"/>
      <c r="W202" s="99"/>
      <c r="X202" s="96"/>
      <c r="AH202" s="99">
        <v>182</v>
      </c>
      <c r="AI202" s="113" t="s">
        <v>5335</v>
      </c>
      <c r="AJ202" s="113">
        <v>-800000</v>
      </c>
      <c r="AK202" s="99">
        <v>7</v>
      </c>
      <c r="AL202" s="20">
        <f t="shared" si="61"/>
        <v>19</v>
      </c>
      <c r="AM202" s="117">
        <f t="shared" si="62"/>
        <v>-15200000</v>
      </c>
      <c r="AN202" s="20"/>
    </row>
    <row r="203" spans="15:45">
      <c r="Q203" s="99"/>
      <c r="R203" s="99"/>
      <c r="S203" s="99"/>
      <c r="T203" s="99" t="s">
        <v>25</v>
      </c>
      <c r="U203" s="99"/>
      <c r="V203" s="99"/>
      <c r="W203" s="99"/>
      <c r="X203" s="96"/>
      <c r="AH203" s="99">
        <v>183</v>
      </c>
      <c r="AI203" s="113" t="s">
        <v>5352</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5355</v>
      </c>
      <c r="AJ204" s="113">
        <v>400000</v>
      </c>
      <c r="AK204" s="99">
        <v>8</v>
      </c>
      <c r="AL204" s="20">
        <f t="shared" ref="AL204:AL215" si="64">AL205+AK204</f>
        <v>10</v>
      </c>
      <c r="AM204" s="117">
        <f t="shared" ref="AM204:AM215" si="65">AJ204*AL204</f>
        <v>4000000</v>
      </c>
      <c r="AN204" s="20"/>
      <c r="AR204" t="s">
        <v>25</v>
      </c>
    </row>
    <row r="205" spans="15:45">
      <c r="P205" s="114"/>
      <c r="Q205" s="99"/>
      <c r="R205" s="99"/>
      <c r="S205" s="99"/>
      <c r="T205" s="99"/>
      <c r="U205" s="99"/>
      <c r="V205" s="99"/>
      <c r="W205" s="99"/>
      <c r="X205" s="96"/>
      <c r="AH205" s="99">
        <v>185</v>
      </c>
      <c r="AI205" s="113" t="s">
        <v>5310</v>
      </c>
      <c r="AJ205" s="113">
        <v>-10000000</v>
      </c>
      <c r="AK205" s="99">
        <v>0</v>
      </c>
      <c r="AL205" s="20">
        <f t="shared" si="64"/>
        <v>2</v>
      </c>
      <c r="AM205" s="117">
        <f t="shared" si="65"/>
        <v>-20000000</v>
      </c>
      <c r="AN205" s="20" t="s">
        <v>5092</v>
      </c>
    </row>
    <row r="206" spans="15:45">
      <c r="Q206" s="96"/>
      <c r="R206" s="96"/>
      <c r="S206" s="96"/>
      <c r="T206" s="96"/>
      <c r="V206" s="96"/>
      <c r="X206" s="115"/>
      <c r="AH206" s="99">
        <v>186</v>
      </c>
      <c r="AI206" s="113" t="s">
        <v>5310</v>
      </c>
      <c r="AJ206" s="113">
        <v>3000000</v>
      </c>
      <c r="AK206" s="99">
        <v>1</v>
      </c>
      <c r="AL206" s="20">
        <f t="shared" si="64"/>
        <v>2</v>
      </c>
      <c r="AM206" s="117">
        <f t="shared" si="65"/>
        <v>6000000</v>
      </c>
      <c r="AN206" s="20"/>
    </row>
    <row r="207" spans="15:45">
      <c r="P207" s="114"/>
      <c r="Q207" s="99" t="s">
        <v>5034</v>
      </c>
      <c r="R207" s="95">
        <f>S197-R212</f>
        <v>212411464.77804816</v>
      </c>
      <c r="S207" s="96"/>
      <c r="T207" s="96"/>
      <c r="V207" s="96"/>
      <c r="AH207" s="99">
        <v>187</v>
      </c>
      <c r="AI207" s="113" t="s">
        <v>5380</v>
      </c>
      <c r="AJ207" s="113">
        <v>500000</v>
      </c>
      <c r="AK207" s="99">
        <v>1</v>
      </c>
      <c r="AL207" s="20">
        <f t="shared" si="64"/>
        <v>1</v>
      </c>
      <c r="AM207" s="117">
        <f t="shared" si="65"/>
        <v>500000</v>
      </c>
      <c r="AN207" s="20"/>
      <c r="AR207" t="s">
        <v>25</v>
      </c>
    </row>
    <row r="208" spans="15:45">
      <c r="Q208" s="99" t="s">
        <v>5035</v>
      </c>
      <c r="R208" s="95">
        <f>S200+S199-R213</f>
        <v>10934889.017041773</v>
      </c>
      <c r="S208" s="96"/>
      <c r="T208" s="96" t="s">
        <v>25</v>
      </c>
      <c r="V208" s="96"/>
      <c r="AH208" s="99">
        <v>188</v>
      </c>
      <c r="AI208" s="113" t="s">
        <v>989</v>
      </c>
      <c r="AJ208" s="113"/>
      <c r="AK208" s="99"/>
      <c r="AL208" s="20">
        <f t="shared" si="64"/>
        <v>0</v>
      </c>
      <c r="AM208" s="117">
        <f t="shared" si="65"/>
        <v>0</v>
      </c>
      <c r="AN208" s="20"/>
      <c r="AR208" t="s">
        <v>25</v>
      </c>
    </row>
    <row r="209" spans="16:45">
      <c r="Q209" s="96"/>
      <c r="R209" s="96"/>
      <c r="S209" s="96"/>
      <c r="T209" s="96"/>
      <c r="V209" s="96"/>
      <c r="AH209" s="99">
        <v>189</v>
      </c>
      <c r="AI209" s="113"/>
      <c r="AJ209" s="113"/>
      <c r="AK209" s="99"/>
      <c r="AL209" s="20">
        <f t="shared" si="64"/>
        <v>0</v>
      </c>
      <c r="AM209" s="117">
        <f t="shared" si="65"/>
        <v>0</v>
      </c>
      <c r="AN209" s="20"/>
      <c r="AP209" t="s">
        <v>25</v>
      </c>
    </row>
    <row r="210" spans="16:45">
      <c r="P210" s="114"/>
      <c r="Q210" s="96"/>
      <c r="R210" s="96"/>
      <c r="S210" s="96"/>
      <c r="T210" s="99" t="s">
        <v>180</v>
      </c>
      <c r="U210" s="99" t="s">
        <v>4470</v>
      </c>
      <c r="V210" s="99" t="s">
        <v>4471</v>
      </c>
      <c r="W210" s="99" t="s">
        <v>4481</v>
      </c>
      <c r="X210" s="99" t="s">
        <v>8</v>
      </c>
      <c r="Z210" t="s">
        <v>25</v>
      </c>
      <c r="AH210" s="99"/>
      <c r="AI210" s="113"/>
      <c r="AJ210" s="113"/>
      <c r="AK210" s="99"/>
      <c r="AL210" s="20">
        <f t="shared" si="64"/>
        <v>0</v>
      </c>
      <c r="AM210" s="117">
        <f t="shared" si="65"/>
        <v>0</v>
      </c>
      <c r="AN210" s="20"/>
      <c r="AR210" t="s">
        <v>25</v>
      </c>
    </row>
    <row r="211" spans="16:45">
      <c r="Q211" s="36" t="s">
        <v>4556</v>
      </c>
      <c r="R211" s="95">
        <f>SUM(N44:N49)</f>
        <v>992178173.5999999</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623932969.5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126686482.59999999</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54690</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Q216" s="99" t="s">
        <v>4442</v>
      </c>
      <c r="R216" s="95">
        <f>N27</f>
        <v>54741</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5327</v>
      </c>
      <c r="R217" s="95">
        <v>0</v>
      </c>
      <c r="T217" s="168" t="s">
        <v>4490</v>
      </c>
      <c r="U217" s="168">
        <v>9301</v>
      </c>
      <c r="V217" s="113">
        <v>243.93</v>
      </c>
      <c r="W217" s="113">
        <f t="shared" si="66"/>
        <v>2268792.9300000002</v>
      </c>
      <c r="X217" s="99" t="s">
        <v>452</v>
      </c>
      <c r="AH217" s="99"/>
      <c r="AI217" s="99"/>
      <c r="AJ217" s="95">
        <f>SUM(AJ20:AJ216)</f>
        <v>490830059</v>
      </c>
      <c r="AK217" s="99"/>
      <c r="AL217" s="99"/>
      <c r="AM217" s="95">
        <f>SUM(AM20:AM216)</f>
        <v>178164285440</v>
      </c>
      <c r="AN217" s="95">
        <f>AM217*AN220/31</f>
        <v>95789165.981563881</v>
      </c>
    </row>
    <row r="218" spans="16:45">
      <c r="P218" s="114"/>
      <c r="Q218" s="99" t="s">
        <v>4911</v>
      </c>
      <c r="R218" s="95">
        <v>166108</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Q219" s="99" t="s">
        <v>5208</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586619224.98156393</v>
      </c>
      <c r="AK222" s="99"/>
      <c r="AL222" s="99"/>
      <c r="AM222" s="99"/>
      <c r="AN222" s="99"/>
    </row>
    <row r="223" spans="16:45">
      <c r="Q223" s="99" t="s">
        <v>5209</v>
      </c>
      <c r="R223" s="95">
        <v>0</v>
      </c>
      <c r="S223" s="115"/>
      <c r="T223" s="168" t="s">
        <v>4609</v>
      </c>
      <c r="U223" s="168">
        <v>66606</v>
      </c>
      <c r="V223" s="113">
        <v>251.131</v>
      </c>
      <c r="W223" s="113">
        <f t="shared" si="66"/>
        <v>16726831.386</v>
      </c>
      <c r="X223" s="99" t="s">
        <v>750</v>
      </c>
      <c r="AI223" t="s">
        <v>4061</v>
      </c>
      <c r="AJ223" s="114">
        <f>SUM(N42:N49)</f>
        <v>992178173.5999999</v>
      </c>
      <c r="AM223" t="s">
        <v>25</v>
      </c>
    </row>
    <row r="224" spans="16:45">
      <c r="Q224" s="99" t="s">
        <v>4446</v>
      </c>
      <c r="R224" s="95">
        <f>SUM(R211:R223)</f>
        <v>1743073164.6999998</v>
      </c>
      <c r="T224" s="168" t="s">
        <v>4614</v>
      </c>
      <c r="U224" s="168">
        <v>172025</v>
      </c>
      <c r="V224" s="113">
        <v>245.52809999999999</v>
      </c>
      <c r="W224" s="113">
        <f t="shared" si="66"/>
        <v>42236971.402499996</v>
      </c>
      <c r="X224" s="99" t="s">
        <v>452</v>
      </c>
      <c r="Z224" t="s">
        <v>25</v>
      </c>
      <c r="AI224" t="s">
        <v>4133</v>
      </c>
      <c r="AJ224" s="114">
        <f>AJ223-AJ217</f>
        <v>501348114.5999999</v>
      </c>
      <c r="AM224" t="s">
        <v>25</v>
      </c>
    </row>
    <row r="225" spans="17:44">
      <c r="Q225" s="96"/>
      <c r="T225" s="168" t="s">
        <v>4614</v>
      </c>
      <c r="U225" s="168">
        <v>189227</v>
      </c>
      <c r="V225" s="113">
        <v>245.52809999999999</v>
      </c>
      <c r="W225" s="113">
        <f t="shared" si="66"/>
        <v>46460545.778700002</v>
      </c>
      <c r="X225" s="99" t="s">
        <v>750</v>
      </c>
      <c r="AI225" t="s">
        <v>941</v>
      </c>
      <c r="AJ225" s="114">
        <f>AN217</f>
        <v>95789165.981563881</v>
      </c>
      <c r="AN225" t="s">
        <v>25</v>
      </c>
    </row>
    <row r="226" spans="17:44">
      <c r="T226" s="168" t="s">
        <v>4615</v>
      </c>
      <c r="U226" s="168">
        <v>79720</v>
      </c>
      <c r="V226" s="113">
        <v>246.6568</v>
      </c>
      <c r="W226" s="113">
        <f t="shared" si="66"/>
        <v>19663480.096000001</v>
      </c>
      <c r="X226" s="99" t="s">
        <v>452</v>
      </c>
      <c r="Y226" t="s">
        <v>25</v>
      </c>
      <c r="AI226" t="s">
        <v>4062</v>
      </c>
      <c r="AJ226" s="114">
        <f>AJ223-AJ222</f>
        <v>405558948.61843598</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479</v>
      </c>
      <c r="AM234" s="99">
        <f>AJ234*AL234</f>
        <v>1703237780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426</v>
      </c>
      <c r="AM236" s="99">
        <f t="shared" si="68"/>
        <v>63900000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423</v>
      </c>
      <c r="AM237" s="99">
        <f t="shared" si="68"/>
        <v>-40185000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415</v>
      </c>
      <c r="AM238" s="99">
        <f t="shared" si="68"/>
        <v>1307250000</v>
      </c>
      <c r="AN238" s="99"/>
      <c r="AR238" t="s">
        <v>25</v>
      </c>
    </row>
    <row r="239" spans="17:44">
      <c r="Q239" s="20" t="s">
        <v>4939</v>
      </c>
      <c r="R239" s="20" t="s">
        <v>4937</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399</v>
      </c>
      <c r="AM239" s="99">
        <f t="shared" si="68"/>
        <v>-25935000</v>
      </c>
      <c r="AN239" s="99"/>
      <c r="AR239" t="s">
        <v>25</v>
      </c>
    </row>
    <row r="240" spans="17:44">
      <c r="Q240" s="149" t="s">
        <v>4964</v>
      </c>
      <c r="R240" s="149" t="s">
        <v>4963</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398</v>
      </c>
      <c r="AM240" s="99">
        <f t="shared" si="68"/>
        <v>-37810000</v>
      </c>
      <c r="AN240" s="99"/>
    </row>
    <row r="241" spans="16:43">
      <c r="Q241" s="149"/>
      <c r="R241" s="149" t="s">
        <v>5016</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392</v>
      </c>
      <c r="AM241" s="99">
        <f t="shared" si="68"/>
        <v>90944000</v>
      </c>
      <c r="AN241" s="99"/>
    </row>
    <row r="242" spans="16:43">
      <c r="Q242" s="20" t="s">
        <v>5061</v>
      </c>
      <c r="R242" s="20" t="s">
        <v>5056</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385</v>
      </c>
      <c r="AM242" s="99">
        <f t="shared" si="68"/>
        <v>5005000000</v>
      </c>
      <c r="AN242" s="99"/>
    </row>
    <row r="243" spans="16:43">
      <c r="P243" t="s">
        <v>25</v>
      </c>
      <c r="Q243" s="149" t="s">
        <v>5204</v>
      </c>
      <c r="R243" s="149" t="s">
        <v>5099</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383</v>
      </c>
      <c r="AM243" s="99">
        <f t="shared" si="68"/>
        <v>3830000000</v>
      </c>
      <c r="AN243" s="99"/>
    </row>
    <row r="244" spans="16:43">
      <c r="Q244" s="149" t="s">
        <v>5244</v>
      </c>
      <c r="R244" s="149" t="s">
        <v>5240</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380</v>
      </c>
      <c r="AM244" s="99">
        <f t="shared" si="68"/>
        <v>1292000000</v>
      </c>
      <c r="AN244" s="99"/>
    </row>
    <row r="245" spans="16:43">
      <c r="Q245" s="149" t="s">
        <v>5278</v>
      </c>
      <c r="R245" s="149" t="s">
        <v>5275</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371</v>
      </c>
      <c r="AM245" s="99">
        <f t="shared" si="68"/>
        <v>-3241246694</v>
      </c>
      <c r="AN245" s="99"/>
    </row>
    <row r="246" spans="16:43">
      <c r="Q246" s="149" t="s">
        <v>5281</v>
      </c>
      <c r="R246" s="149" t="s">
        <v>5280</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5291</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365</v>
      </c>
      <c r="AM247" s="99">
        <f t="shared" si="68"/>
        <v>-163632420</v>
      </c>
      <c r="AN247" s="99"/>
    </row>
    <row r="248" spans="16:43">
      <c r="Q248" s="195" t="s">
        <v>5324</v>
      </c>
      <c r="R248" s="195" t="s">
        <v>5323</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359</v>
      </c>
      <c r="AM248" s="99">
        <f t="shared" si="68"/>
        <v>11927775</v>
      </c>
      <c r="AN248" s="99"/>
    </row>
    <row r="249" spans="16:43">
      <c r="Q249" s="20" t="s">
        <v>5061</v>
      </c>
      <c r="R249" s="20" t="s">
        <v>5352</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5367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357</v>
      </c>
      <c r="AM250" s="149">
        <f t="shared" si="68"/>
        <v>-357000000</v>
      </c>
      <c r="AN250" s="149" t="s">
        <v>656</v>
      </c>
    </row>
    <row r="251" spans="16:43">
      <c r="Q251" s="20" t="s">
        <v>5061</v>
      </c>
      <c r="R251" s="20" t="s">
        <v>5386</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350</v>
      </c>
      <c r="AM251" s="149">
        <f t="shared" si="68"/>
        <v>262500000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349</v>
      </c>
      <c r="AM252" s="195">
        <f t="shared" si="68"/>
        <v>-210849048</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349</v>
      </c>
      <c r="AM253" s="99">
        <f t="shared" si="68"/>
        <v>-204891967</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345</v>
      </c>
      <c r="AM254" s="195">
        <f t="shared" si="68"/>
        <v>-260251095</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345</v>
      </c>
      <c r="AM255" s="99">
        <f t="shared" si="68"/>
        <v>-65418555</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330</v>
      </c>
      <c r="AM256" s="195">
        <f t="shared" si="68"/>
        <v>2343000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330</v>
      </c>
      <c r="AM257" s="20">
        <f t="shared" si="68"/>
        <v>-48807660</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327</v>
      </c>
      <c r="AM258" s="195">
        <f t="shared" si="68"/>
        <v>-12164400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323</v>
      </c>
      <c r="AM259" s="20">
        <f t="shared" si="68"/>
        <v>-120261298</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302</v>
      </c>
      <c r="AM260" s="20">
        <f t="shared" si="68"/>
        <v>70988724</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302</v>
      </c>
      <c r="AM261" s="149">
        <f t="shared" si="68"/>
        <v>70988724</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293</v>
      </c>
      <c r="AM262" s="149">
        <f t="shared" si="68"/>
        <v>131850000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293</v>
      </c>
      <c r="AM263" s="20">
        <f t="shared" si="68"/>
        <v>131850000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271</v>
      </c>
      <c r="AM265" s="121">
        <f t="shared" si="71"/>
        <v>78301656</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268</v>
      </c>
      <c r="AM266" s="121">
        <f t="shared" si="71"/>
        <v>4813947588</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261</v>
      </c>
      <c r="AM269" s="121">
        <f t="shared" si="72"/>
        <v>21531484188</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260</v>
      </c>
      <c r="AM270" s="121">
        <f t="shared" si="72"/>
        <v>19410965860</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244</v>
      </c>
      <c r="AM271" s="20">
        <f t="shared" si="72"/>
        <v>162260000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244</v>
      </c>
      <c r="AM272" s="195">
        <f t="shared" ref="AM272:AM273" si="73">AJ272*AL272</f>
        <v>162260000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240</v>
      </c>
      <c r="AM273" s="20">
        <f t="shared" si="73"/>
        <v>480000000</v>
      </c>
      <c r="AN273" s="99"/>
    </row>
    <row r="274" spans="17:40">
      <c r="Q274" s="99" t="s">
        <v>4698</v>
      </c>
      <c r="R274" s="95">
        <v>6667654</v>
      </c>
      <c r="T274" s="213" t="s">
        <v>4931</v>
      </c>
      <c r="U274" s="213">
        <v>3741</v>
      </c>
      <c r="V274" s="113">
        <v>307.34415000000001</v>
      </c>
      <c r="W274" s="113">
        <f t="shared" si="66"/>
        <v>1149774.4651500001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4706</v>
      </c>
      <c r="R275" s="95">
        <v>8981245</v>
      </c>
      <c r="T275" s="213" t="s">
        <v>4937</v>
      </c>
      <c r="U275" s="213">
        <v>-6207</v>
      </c>
      <c r="V275" s="113">
        <v>322.214</v>
      </c>
      <c r="W275" s="113">
        <f t="shared" si="66"/>
        <v>-1999982.298</v>
      </c>
      <c r="X275" s="99" t="s">
        <v>750</v>
      </c>
      <c r="AH275" s="149">
        <v>42</v>
      </c>
      <c r="AI275" s="149" t="s">
        <v>4825</v>
      </c>
      <c r="AJ275" s="188">
        <v>-433375</v>
      </c>
      <c r="AK275" s="149">
        <v>0</v>
      </c>
      <c r="AL275" s="149">
        <f t="shared" si="70"/>
        <v>239</v>
      </c>
      <c r="AM275" s="149">
        <f t="shared" si="74"/>
        <v>-103576625</v>
      </c>
      <c r="AN275" s="149" t="s">
        <v>4827</v>
      </c>
    </row>
    <row r="276" spans="17:40">
      <c r="Q276" s="99" t="s">
        <v>4711</v>
      </c>
      <c r="R276" s="95">
        <v>9181756</v>
      </c>
      <c r="T276" s="213" t="s">
        <v>4937</v>
      </c>
      <c r="U276" s="213">
        <v>6207</v>
      </c>
      <c r="V276" s="113">
        <v>322.214</v>
      </c>
      <c r="W276" s="113">
        <f t="shared" si="66"/>
        <v>1999982.298</v>
      </c>
      <c r="X276" s="99" t="s">
        <v>4436</v>
      </c>
      <c r="AH276" s="20">
        <v>43</v>
      </c>
      <c r="AI276" s="20" t="s">
        <v>4825</v>
      </c>
      <c r="AJ276" s="117">
        <v>28000000</v>
      </c>
      <c r="AK276" s="20">
        <v>1</v>
      </c>
      <c r="AL276" s="99">
        <f t="shared" si="70"/>
        <v>239</v>
      </c>
      <c r="AM276" s="20">
        <f t="shared" si="74"/>
        <v>6692000000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238</v>
      </c>
      <c r="AM277" s="20">
        <f t="shared" si="74"/>
        <v>38080000</v>
      </c>
      <c r="AN277" s="99"/>
    </row>
    <row r="278" spans="17:40">
      <c r="Q278" s="99" t="s">
        <v>4729</v>
      </c>
      <c r="R278" s="95">
        <v>41248054</v>
      </c>
      <c r="S278" t="s">
        <v>25</v>
      </c>
      <c r="T278" s="213" t="s">
        <v>4963</v>
      </c>
      <c r="U278" s="213">
        <v>1524</v>
      </c>
      <c r="V278" s="113">
        <v>314.95999999999998</v>
      </c>
      <c r="W278" s="113">
        <f t="shared" si="66"/>
        <v>479999.04</v>
      </c>
      <c r="X278" s="99" t="s">
        <v>1084</v>
      </c>
      <c r="AH278" s="149">
        <v>45</v>
      </c>
      <c r="AI278" s="149" t="s">
        <v>4834</v>
      </c>
      <c r="AJ278" s="188">
        <v>70000</v>
      </c>
      <c r="AK278" s="149">
        <v>9</v>
      </c>
      <c r="AL278" s="149">
        <f t="shared" si="70"/>
        <v>238</v>
      </c>
      <c r="AM278" s="149">
        <f t="shared" si="74"/>
        <v>16660000</v>
      </c>
      <c r="AN278" s="149"/>
    </row>
    <row r="279" spans="17:40">
      <c r="Q279" s="99" t="s">
        <v>4737</v>
      </c>
      <c r="R279" s="95">
        <v>37328780</v>
      </c>
      <c r="T279" s="213" t="s">
        <v>4972</v>
      </c>
      <c r="U279" s="213">
        <v>4435</v>
      </c>
      <c r="V279" s="113">
        <v>316.4375</v>
      </c>
      <c r="W279" s="113">
        <f t="shared" si="66"/>
        <v>1403400.3125</v>
      </c>
      <c r="X279" s="99" t="s">
        <v>452</v>
      </c>
      <c r="AH279" s="20">
        <v>46</v>
      </c>
      <c r="AI279" s="20" t="s">
        <v>4841</v>
      </c>
      <c r="AJ279" s="117">
        <v>850000</v>
      </c>
      <c r="AK279" s="20">
        <v>0</v>
      </c>
      <c r="AL279" s="99">
        <f t="shared" si="70"/>
        <v>229</v>
      </c>
      <c r="AM279" s="20">
        <f t="shared" si="74"/>
        <v>194650000</v>
      </c>
      <c r="AN279" s="99"/>
    </row>
    <row r="280" spans="17:40">
      <c r="Q280" s="99" t="s">
        <v>4825</v>
      </c>
      <c r="R280" s="95">
        <v>-2194100</v>
      </c>
      <c r="T280" s="213" t="s">
        <v>4977</v>
      </c>
      <c r="U280" s="213">
        <v>624</v>
      </c>
      <c r="V280" s="113">
        <v>320.5</v>
      </c>
      <c r="W280" s="113">
        <f t="shared" si="66"/>
        <v>199992</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4862</v>
      </c>
      <c r="R281" s="95">
        <v>20193916</v>
      </c>
      <c r="T281" s="213" t="s">
        <v>4983</v>
      </c>
      <c r="U281" s="213">
        <v>1086</v>
      </c>
      <c r="V281" s="113">
        <v>317.55</v>
      </c>
      <c r="W281" s="113">
        <f t="shared" si="66"/>
        <v>344859.3</v>
      </c>
      <c r="X281" s="99" t="s">
        <v>452</v>
      </c>
      <c r="AH281" s="195">
        <v>48</v>
      </c>
      <c r="AI281" s="195" t="s">
        <v>4854</v>
      </c>
      <c r="AJ281" s="196">
        <v>30000000</v>
      </c>
      <c r="AK281" s="195">
        <v>27</v>
      </c>
      <c r="AL281" s="195">
        <f t="shared" si="75"/>
        <v>225</v>
      </c>
      <c r="AM281" s="195">
        <f t="shared" si="76"/>
        <v>6750000000</v>
      </c>
      <c r="AN281" s="195" t="s">
        <v>4855</v>
      </c>
    </row>
    <row r="282" spans="17:40">
      <c r="Q282" s="99" t="s">
        <v>4937</v>
      </c>
      <c r="R282" s="95">
        <v>-2000000</v>
      </c>
      <c r="T282" s="213" t="s">
        <v>4988</v>
      </c>
      <c r="U282" s="213">
        <v>2820</v>
      </c>
      <c r="V282" s="113">
        <v>319.1096</v>
      </c>
      <c r="W282" s="113">
        <f t="shared" si="66"/>
        <v>899889.07200000004</v>
      </c>
      <c r="X282" s="99" t="s">
        <v>452</v>
      </c>
      <c r="AH282" s="20">
        <v>49</v>
      </c>
      <c r="AI282" s="20" t="s">
        <v>4931</v>
      </c>
      <c r="AJ282" s="117">
        <v>1100000</v>
      </c>
      <c r="AK282" s="20">
        <v>1</v>
      </c>
      <c r="AL282" s="20">
        <f t="shared" si="75"/>
        <v>198</v>
      </c>
      <c r="AM282" s="20">
        <f t="shared" si="76"/>
        <v>217800000</v>
      </c>
      <c r="AN282" s="20"/>
    </row>
    <row r="283" spans="17:40">
      <c r="Q283" s="99" t="s">
        <v>5016</v>
      </c>
      <c r="R283" s="95">
        <v>6800000</v>
      </c>
      <c r="S283" t="s">
        <v>25</v>
      </c>
      <c r="T283" s="213" t="s">
        <v>4992</v>
      </c>
      <c r="U283" s="213">
        <v>1145</v>
      </c>
      <c r="V283" s="113">
        <v>325.44</v>
      </c>
      <c r="W283" s="113">
        <f t="shared" si="66"/>
        <v>372628.8</v>
      </c>
      <c r="X283" s="99" t="s">
        <v>452</v>
      </c>
      <c r="AH283" s="20">
        <v>50</v>
      </c>
      <c r="AI283" s="20" t="s">
        <v>4933</v>
      </c>
      <c r="AJ283" s="117">
        <v>450000</v>
      </c>
      <c r="AK283" s="20">
        <v>0</v>
      </c>
      <c r="AL283" s="20">
        <f t="shared" si="75"/>
        <v>197</v>
      </c>
      <c r="AM283" s="20">
        <f t="shared" si="76"/>
        <v>88650000</v>
      </c>
      <c r="AN283" s="20"/>
    </row>
    <row r="284" spans="17:40">
      <c r="Q284" s="99" t="s">
        <v>5030</v>
      </c>
      <c r="R284" s="95">
        <v>850000</v>
      </c>
      <c r="T284" s="213" t="s">
        <v>5003</v>
      </c>
      <c r="U284" s="213">
        <v>20153</v>
      </c>
      <c r="V284" s="113">
        <v>322</v>
      </c>
      <c r="W284" s="113">
        <f t="shared" si="66"/>
        <v>6489266</v>
      </c>
      <c r="X284" s="99" t="s">
        <v>452</v>
      </c>
      <c r="AH284" s="149">
        <v>51</v>
      </c>
      <c r="AI284" s="149" t="s">
        <v>4933</v>
      </c>
      <c r="AJ284" s="188">
        <v>550000</v>
      </c>
      <c r="AK284" s="149">
        <v>1</v>
      </c>
      <c r="AL284" s="149">
        <f t="shared" si="75"/>
        <v>197</v>
      </c>
      <c r="AM284" s="149">
        <f t="shared" si="76"/>
        <v>108350000</v>
      </c>
      <c r="AN284" s="149"/>
    </row>
    <row r="285" spans="17:40">
      <c r="Q285" s="99" t="s">
        <v>5040</v>
      </c>
      <c r="R285" s="95">
        <v>2290500</v>
      </c>
      <c r="T285" s="213" t="s">
        <v>5016</v>
      </c>
      <c r="U285" s="213">
        <v>93720</v>
      </c>
      <c r="V285" s="113">
        <v>325.435</v>
      </c>
      <c r="W285" s="113">
        <f t="shared" si="66"/>
        <v>30499768.199999999</v>
      </c>
      <c r="X285" s="99" t="s">
        <v>1084</v>
      </c>
      <c r="AH285" s="149">
        <v>52</v>
      </c>
      <c r="AI285" s="149" t="s">
        <v>4935</v>
      </c>
      <c r="AJ285" s="188">
        <v>1000000</v>
      </c>
      <c r="AK285" s="149">
        <v>8</v>
      </c>
      <c r="AL285" s="149">
        <f t="shared" si="75"/>
        <v>196</v>
      </c>
      <c r="AM285" s="149">
        <f t="shared" si="76"/>
        <v>196000000</v>
      </c>
      <c r="AN285" s="149"/>
    </row>
    <row r="286" spans="17:40">
      <c r="Q286" s="99" t="s">
        <v>5056</v>
      </c>
      <c r="R286" s="95">
        <v>400000</v>
      </c>
      <c r="S286" t="s">
        <v>25</v>
      </c>
      <c r="T286" s="213" t="s">
        <v>5016</v>
      </c>
      <c r="U286" s="213">
        <v>20895</v>
      </c>
      <c r="V286" s="113">
        <v>325.435</v>
      </c>
      <c r="W286" s="113">
        <f t="shared" si="66"/>
        <v>6799964.3250000002</v>
      </c>
      <c r="X286" s="99" t="s">
        <v>750</v>
      </c>
      <c r="AH286" s="20">
        <v>53</v>
      </c>
      <c r="AI286" s="20" t="s">
        <v>4945</v>
      </c>
      <c r="AJ286" s="117">
        <v>-2668880</v>
      </c>
      <c r="AK286" s="20">
        <v>0</v>
      </c>
      <c r="AL286" s="20">
        <f t="shared" si="75"/>
        <v>188</v>
      </c>
      <c r="AM286" s="20">
        <f t="shared" si="76"/>
        <v>-501749440</v>
      </c>
      <c r="AN286" s="20" t="s">
        <v>4947</v>
      </c>
    </row>
    <row r="287" spans="17:40">
      <c r="Q287" s="99" t="s">
        <v>5063</v>
      </c>
      <c r="R287" s="95">
        <v>150000</v>
      </c>
      <c r="T287" s="213" t="s">
        <v>5030</v>
      </c>
      <c r="U287" s="213">
        <v>2611</v>
      </c>
      <c r="V287" s="113">
        <v>325.435</v>
      </c>
      <c r="W287" s="113">
        <f t="shared" si="66"/>
        <v>849710.78500000003</v>
      </c>
      <c r="X287" s="99" t="s">
        <v>750</v>
      </c>
      <c r="AH287" s="149">
        <v>54</v>
      </c>
      <c r="AI287" s="149" t="s">
        <v>4945</v>
      </c>
      <c r="AJ287" s="188">
        <v>-1528620</v>
      </c>
      <c r="AK287" s="149">
        <v>0</v>
      </c>
      <c r="AL287" s="149">
        <f t="shared" si="75"/>
        <v>188</v>
      </c>
      <c r="AM287" s="149">
        <f t="shared" si="76"/>
        <v>-287380560</v>
      </c>
      <c r="AN287" s="149" t="s">
        <v>4947</v>
      </c>
    </row>
    <row r="288" spans="17:40">
      <c r="Q288" s="99" t="s">
        <v>5099</v>
      </c>
      <c r="R288" s="95">
        <v>-144950</v>
      </c>
      <c r="T288" s="213" t="s">
        <v>5040</v>
      </c>
      <c r="U288" s="213">
        <v>6750</v>
      </c>
      <c r="V288" s="113">
        <v>339.3</v>
      </c>
      <c r="W288" s="113">
        <f t="shared" si="66"/>
        <v>2290275</v>
      </c>
      <c r="X288" s="99" t="s">
        <v>750</v>
      </c>
      <c r="AH288" s="20">
        <v>55</v>
      </c>
      <c r="AI288" s="20" t="s">
        <v>4945</v>
      </c>
      <c r="AJ288" s="117">
        <v>50000000</v>
      </c>
      <c r="AK288" s="20">
        <v>4</v>
      </c>
      <c r="AL288" s="20">
        <f t="shared" si="75"/>
        <v>188</v>
      </c>
      <c r="AM288" s="20">
        <f t="shared" si="76"/>
        <v>9400000000</v>
      </c>
      <c r="AN288" s="20"/>
    </row>
    <row r="289" spans="16:44">
      <c r="Q289" s="99" t="s">
        <v>5135</v>
      </c>
      <c r="R289" s="95">
        <v>320000</v>
      </c>
      <c r="T289" s="213" t="s">
        <v>5056</v>
      </c>
      <c r="U289" s="213">
        <v>1850</v>
      </c>
      <c r="V289" s="113">
        <v>334.10050000000001</v>
      </c>
      <c r="W289" s="113">
        <f t="shared" si="66"/>
        <v>618085.92500000005</v>
      </c>
      <c r="X289" s="99" t="s">
        <v>452</v>
      </c>
      <c r="AH289" s="20">
        <v>56</v>
      </c>
      <c r="AI289" s="20" t="s">
        <v>4951</v>
      </c>
      <c r="AJ289" s="117">
        <v>400000</v>
      </c>
      <c r="AK289" s="20">
        <v>4</v>
      </c>
      <c r="AL289" s="20">
        <f t="shared" ref="AL289:AL298" si="77">AK289+AL290</f>
        <v>184</v>
      </c>
      <c r="AM289" s="20">
        <f t="shared" ref="AM289:AM298" si="78">AJ289*AL289</f>
        <v>73600000</v>
      </c>
      <c r="AN289" s="20"/>
    </row>
    <row r="290" spans="16:44">
      <c r="Q290" s="99" t="s">
        <v>5140</v>
      </c>
      <c r="R290" s="95">
        <v>500000</v>
      </c>
      <c r="S290" t="s">
        <v>25</v>
      </c>
      <c r="T290" s="213" t="s">
        <v>5056</v>
      </c>
      <c r="U290" s="213">
        <v>-1194</v>
      </c>
      <c r="V290" s="113">
        <v>335</v>
      </c>
      <c r="W290" s="113">
        <f t="shared" si="66"/>
        <v>-399990</v>
      </c>
      <c r="X290" s="99" t="s">
        <v>4436</v>
      </c>
      <c r="AH290" s="20">
        <v>57</v>
      </c>
      <c r="AI290" s="20" t="s">
        <v>4963</v>
      </c>
      <c r="AJ290" s="117">
        <v>2000000</v>
      </c>
      <c r="AK290" s="20">
        <v>3</v>
      </c>
      <c r="AL290" s="20">
        <f t="shared" si="77"/>
        <v>180</v>
      </c>
      <c r="AM290" s="20">
        <f t="shared" si="78"/>
        <v>360000000</v>
      </c>
      <c r="AN290" s="20"/>
    </row>
    <row r="291" spans="16:44">
      <c r="Q291" s="99" t="s">
        <v>5195</v>
      </c>
      <c r="R291" s="95">
        <v>400000</v>
      </c>
      <c r="S291" t="s">
        <v>25</v>
      </c>
      <c r="T291" s="213" t="s">
        <v>5056</v>
      </c>
      <c r="U291" s="213">
        <v>1194</v>
      </c>
      <c r="V291" s="113">
        <v>335</v>
      </c>
      <c r="W291" s="113">
        <f t="shared" si="66"/>
        <v>399990</v>
      </c>
      <c r="X291" s="99" t="s">
        <v>750</v>
      </c>
      <c r="AH291" s="20">
        <v>58</v>
      </c>
      <c r="AI291" s="20" t="s">
        <v>4966</v>
      </c>
      <c r="AJ291" s="117">
        <v>100000</v>
      </c>
      <c r="AK291" s="20">
        <v>4</v>
      </c>
      <c r="AL291" s="20">
        <f t="shared" si="77"/>
        <v>177</v>
      </c>
      <c r="AM291" s="20">
        <f t="shared" si="78"/>
        <v>17700000</v>
      </c>
      <c r="AN291" s="20" t="s">
        <v>3888</v>
      </c>
    </row>
    <row r="292" spans="16:44">
      <c r="Q292" s="99" t="s">
        <v>5200</v>
      </c>
      <c r="R292" s="95">
        <v>50000</v>
      </c>
      <c r="S292" t="s">
        <v>25</v>
      </c>
      <c r="T292" s="213" t="s">
        <v>5063</v>
      </c>
      <c r="U292" s="213">
        <v>433</v>
      </c>
      <c r="V292" s="113">
        <v>345.68</v>
      </c>
      <c r="W292" s="113">
        <f t="shared" si="66"/>
        <v>149679.44</v>
      </c>
      <c r="X292" s="99" t="s">
        <v>750</v>
      </c>
      <c r="AH292" s="20">
        <v>59</v>
      </c>
      <c r="AI292" s="20" t="s">
        <v>4977</v>
      </c>
      <c r="AJ292" s="117">
        <v>100000</v>
      </c>
      <c r="AK292" s="20">
        <v>7</v>
      </c>
      <c r="AL292" s="20">
        <f t="shared" si="77"/>
        <v>173</v>
      </c>
      <c r="AM292" s="20">
        <f t="shared" si="78"/>
        <v>17300000</v>
      </c>
      <c r="AN292" s="20"/>
    </row>
    <row r="293" spans="16:44">
      <c r="Q293" s="99" t="s">
        <v>5211</v>
      </c>
      <c r="R293" s="95">
        <v>300000</v>
      </c>
      <c r="T293" s="213" t="s">
        <v>5070</v>
      </c>
      <c r="U293" s="213">
        <v>55459</v>
      </c>
      <c r="V293" s="113">
        <v>362.51978000000003</v>
      </c>
      <c r="W293" s="113">
        <f t="shared" si="66"/>
        <v>20104984.479020003</v>
      </c>
      <c r="X293" s="99" t="s">
        <v>452</v>
      </c>
      <c r="AH293" s="20">
        <v>60</v>
      </c>
      <c r="AI293" s="20" t="s">
        <v>4992</v>
      </c>
      <c r="AJ293" s="117">
        <v>50000</v>
      </c>
      <c r="AK293" s="20">
        <v>0</v>
      </c>
      <c r="AL293" s="20">
        <f t="shared" si="77"/>
        <v>166</v>
      </c>
      <c r="AM293" s="20">
        <f t="shared" si="78"/>
        <v>8300000</v>
      </c>
      <c r="AN293" s="20"/>
    </row>
    <row r="294" spans="16:44">
      <c r="Q294" s="99" t="s">
        <v>5247</v>
      </c>
      <c r="R294" s="95">
        <v>250000</v>
      </c>
      <c r="T294" s="213" t="s">
        <v>5075</v>
      </c>
      <c r="U294" s="213">
        <v>-57212</v>
      </c>
      <c r="V294" s="113">
        <v>368.45400000000001</v>
      </c>
      <c r="W294" s="113">
        <f t="shared" si="66"/>
        <v>-21079990.248</v>
      </c>
      <c r="X294" s="99" t="s">
        <v>452</v>
      </c>
      <c r="AH294" s="149">
        <v>61</v>
      </c>
      <c r="AI294" s="149" t="s">
        <v>4992</v>
      </c>
      <c r="AJ294" s="188">
        <v>50000</v>
      </c>
      <c r="AK294" s="149">
        <v>3</v>
      </c>
      <c r="AL294" s="149">
        <f t="shared" si="77"/>
        <v>166</v>
      </c>
      <c r="AM294" s="149">
        <f t="shared" si="78"/>
        <v>8300000</v>
      </c>
      <c r="AN294" s="149"/>
    </row>
    <row r="295" spans="16:44">
      <c r="Q295" s="99" t="s">
        <v>5291</v>
      </c>
      <c r="R295" s="95">
        <v>200000</v>
      </c>
      <c r="T295" s="213" t="s">
        <v>5076</v>
      </c>
      <c r="U295" s="213">
        <v>-15881</v>
      </c>
      <c r="V295" s="113">
        <v>374.61599999999999</v>
      </c>
      <c r="W295" s="113">
        <f t="shared" si="66"/>
        <v>-5949276.6959999995</v>
      </c>
      <c r="X295" s="99" t="s">
        <v>452</v>
      </c>
      <c r="AH295" s="20">
        <v>62</v>
      </c>
      <c r="AI295" s="20" t="s">
        <v>4997</v>
      </c>
      <c r="AJ295" s="117">
        <v>50000</v>
      </c>
      <c r="AK295" s="20">
        <v>0</v>
      </c>
      <c r="AL295" s="20">
        <f t="shared" si="77"/>
        <v>163</v>
      </c>
      <c r="AM295" s="20">
        <f t="shared" si="78"/>
        <v>8150000</v>
      </c>
      <c r="AN295" s="20"/>
    </row>
    <row r="296" spans="16:44">
      <c r="P296" t="s">
        <v>25</v>
      </c>
      <c r="Q296" s="99" t="s">
        <v>5352</v>
      </c>
      <c r="R296" s="95">
        <v>122000</v>
      </c>
      <c r="T296" s="213" t="s">
        <v>5083</v>
      </c>
      <c r="U296" s="213">
        <v>-41289</v>
      </c>
      <c r="V296" s="113">
        <v>372.27</v>
      </c>
      <c r="W296" s="113">
        <f t="shared" si="66"/>
        <v>-15370656.029999999</v>
      </c>
      <c r="X296" s="99" t="s">
        <v>452</v>
      </c>
      <c r="AH296" s="195">
        <v>63</v>
      </c>
      <c r="AI296" s="195" t="s">
        <v>4997</v>
      </c>
      <c r="AJ296" s="196">
        <v>50000</v>
      </c>
      <c r="AK296" s="195">
        <v>2</v>
      </c>
      <c r="AL296" s="195">
        <f t="shared" si="77"/>
        <v>163</v>
      </c>
      <c r="AM296" s="195">
        <f t="shared" si="78"/>
        <v>8150000</v>
      </c>
      <c r="AN296" s="195"/>
    </row>
    <row r="297" spans="16:44">
      <c r="Q297" s="99" t="s">
        <v>5367</v>
      </c>
      <c r="R297" s="95">
        <v>200000</v>
      </c>
      <c r="S297" t="s">
        <v>25</v>
      </c>
      <c r="T297" s="213" t="s">
        <v>5090</v>
      </c>
      <c r="U297" s="213">
        <v>13563</v>
      </c>
      <c r="V297" s="113">
        <v>365.69799999999998</v>
      </c>
      <c r="W297" s="113">
        <f t="shared" si="66"/>
        <v>4959961.9739999995</v>
      </c>
      <c r="X297" s="99" t="s">
        <v>452</v>
      </c>
      <c r="AH297" s="20">
        <v>64</v>
      </c>
      <c r="AI297" s="20" t="s">
        <v>5006</v>
      </c>
      <c r="AJ297" s="117">
        <v>25000</v>
      </c>
      <c r="AK297" s="20">
        <v>0</v>
      </c>
      <c r="AL297" s="20">
        <f t="shared" si="77"/>
        <v>161</v>
      </c>
      <c r="AM297" s="20">
        <f t="shared" si="78"/>
        <v>4025000</v>
      </c>
      <c r="AN297" s="20"/>
    </row>
    <row r="298" spans="16:44">
      <c r="Q298" s="99" t="s">
        <v>5386</v>
      </c>
      <c r="R298" s="95">
        <v>60000</v>
      </c>
      <c r="T298" s="213" t="s">
        <v>5090</v>
      </c>
      <c r="U298" s="213">
        <v>27344</v>
      </c>
      <c r="V298" s="113">
        <v>365.69799999999998</v>
      </c>
      <c r="W298" s="113">
        <f t="shared" si="66"/>
        <v>9999646.1119999997</v>
      </c>
      <c r="X298" s="99" t="s">
        <v>452</v>
      </c>
      <c r="AH298" s="149">
        <v>65</v>
      </c>
      <c r="AI298" s="149" t="s">
        <v>5006</v>
      </c>
      <c r="AJ298" s="188">
        <v>35000</v>
      </c>
      <c r="AK298" s="149">
        <v>7</v>
      </c>
      <c r="AL298" s="149">
        <f t="shared" si="77"/>
        <v>161</v>
      </c>
      <c r="AM298" s="149">
        <f t="shared" si="78"/>
        <v>5635000</v>
      </c>
      <c r="AN298" s="149"/>
    </row>
    <row r="299" spans="16:44" ht="30">
      <c r="Q299" s="99"/>
      <c r="R299" s="95"/>
      <c r="S299" t="s">
        <v>25</v>
      </c>
      <c r="T299" s="213" t="s">
        <v>5099</v>
      </c>
      <c r="U299" s="213">
        <v>-103145</v>
      </c>
      <c r="V299" s="113">
        <v>393.334</v>
      </c>
      <c r="W299" s="113">
        <f t="shared" si="66"/>
        <v>-40570435.43</v>
      </c>
      <c r="X299" s="36" t="s">
        <v>5111</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5">
        <f>SUM(R260:R299)</f>
        <v>436983825</v>
      </c>
      <c r="T300" s="213" t="s">
        <v>5099</v>
      </c>
      <c r="U300" s="213">
        <v>-369</v>
      </c>
      <c r="V300" s="113">
        <v>393.334</v>
      </c>
      <c r="W300" s="113">
        <f t="shared" si="66"/>
        <v>-145140.24600000001</v>
      </c>
      <c r="X300" s="36" t="s">
        <v>5202</v>
      </c>
      <c r="AH300" s="20">
        <v>67</v>
      </c>
      <c r="AI300" s="20" t="s">
        <v>5016</v>
      </c>
      <c r="AJ300" s="117">
        <v>6800000</v>
      </c>
      <c r="AK300" s="20">
        <v>1</v>
      </c>
      <c r="AL300" s="20">
        <f t="shared" si="79"/>
        <v>154</v>
      </c>
      <c r="AM300" s="20">
        <f t="shared" si="80"/>
        <v>1047200000</v>
      </c>
      <c r="AN300" s="20"/>
      <c r="AR300" t="s">
        <v>25</v>
      </c>
    </row>
    <row r="301" spans="16:44">
      <c r="Q301" s="99"/>
      <c r="R301" s="99" t="s">
        <v>6</v>
      </c>
      <c r="T301" s="213" t="s">
        <v>5099</v>
      </c>
      <c r="U301" s="213">
        <v>-889</v>
      </c>
      <c r="V301" s="113">
        <v>393.334</v>
      </c>
      <c r="W301" s="113">
        <f t="shared" si="66"/>
        <v>-349673.92599999998</v>
      </c>
      <c r="X301" s="36" t="s">
        <v>5203</v>
      </c>
      <c r="AH301" s="20">
        <v>68</v>
      </c>
      <c r="AI301" s="20" t="s">
        <v>5022</v>
      </c>
      <c r="AJ301" s="117">
        <v>500000</v>
      </c>
      <c r="AK301" s="20">
        <v>1</v>
      </c>
      <c r="AL301" s="20">
        <f t="shared" si="79"/>
        <v>153</v>
      </c>
      <c r="AM301" s="20">
        <f t="shared" si="80"/>
        <v>76500000</v>
      </c>
      <c r="AN301" s="20"/>
    </row>
    <row r="302" spans="16:44">
      <c r="R302" t="s">
        <v>25</v>
      </c>
      <c r="T302" s="213" t="s">
        <v>5115</v>
      </c>
      <c r="U302" s="213">
        <v>2546</v>
      </c>
      <c r="V302" s="113">
        <v>393</v>
      </c>
      <c r="W302" s="113">
        <f t="shared" si="66"/>
        <v>1000578</v>
      </c>
      <c r="X302" s="36" t="s">
        <v>452</v>
      </c>
      <c r="Y302" t="s">
        <v>25</v>
      </c>
      <c r="AH302" s="20">
        <v>69</v>
      </c>
      <c r="AI302" s="20" t="s">
        <v>5030</v>
      </c>
      <c r="AJ302" s="117">
        <v>850000</v>
      </c>
      <c r="AK302" s="20">
        <v>5</v>
      </c>
      <c r="AL302" s="20">
        <f t="shared" si="79"/>
        <v>152</v>
      </c>
      <c r="AM302" s="20">
        <f t="shared" si="80"/>
        <v>129200000</v>
      </c>
      <c r="AN302" s="20"/>
    </row>
    <row r="303" spans="16:44">
      <c r="S303" t="s">
        <v>25</v>
      </c>
      <c r="T303" s="213" t="s">
        <v>5116</v>
      </c>
      <c r="U303" s="213">
        <v>1034</v>
      </c>
      <c r="V303" s="113">
        <v>386.608</v>
      </c>
      <c r="W303" s="113">
        <f t="shared" si="66"/>
        <v>399752.67200000002</v>
      </c>
      <c r="X303" s="36" t="s">
        <v>452</v>
      </c>
      <c r="Y303" t="s">
        <v>25</v>
      </c>
      <c r="AH303" s="20">
        <v>70</v>
      </c>
      <c r="AI303" s="20" t="s">
        <v>5040</v>
      </c>
      <c r="AJ303" s="117">
        <v>1130250</v>
      </c>
      <c r="AK303" s="20">
        <v>0</v>
      </c>
      <c r="AL303" s="20">
        <f t="shared" si="79"/>
        <v>147</v>
      </c>
      <c r="AM303" s="20">
        <f t="shared" si="80"/>
        <v>166146750</v>
      </c>
      <c r="AN303" s="20"/>
    </row>
    <row r="304" spans="16:44">
      <c r="Q304" s="99" t="s">
        <v>452</v>
      </c>
      <c r="R304" s="99"/>
      <c r="S304" t="s">
        <v>25</v>
      </c>
      <c r="T304" s="213" t="s">
        <v>5123</v>
      </c>
      <c r="U304" s="213">
        <v>300</v>
      </c>
      <c r="V304" s="113">
        <v>400</v>
      </c>
      <c r="W304" s="113">
        <f t="shared" si="66"/>
        <v>120000</v>
      </c>
      <c r="X304" s="36" t="s">
        <v>452</v>
      </c>
      <c r="AH304" s="260">
        <v>71</v>
      </c>
      <c r="AI304" s="260" t="s">
        <v>5040</v>
      </c>
      <c r="AJ304" s="251">
        <v>30000</v>
      </c>
      <c r="AK304" s="260">
        <v>5</v>
      </c>
      <c r="AL304" s="260">
        <f t="shared" si="79"/>
        <v>147</v>
      </c>
      <c r="AM304" s="260">
        <f t="shared" si="80"/>
        <v>4410000</v>
      </c>
      <c r="AN304" s="260"/>
    </row>
    <row r="305" spans="17:40">
      <c r="Q305" s="99" t="s">
        <v>4429</v>
      </c>
      <c r="R305" s="95">
        <v>63115000</v>
      </c>
      <c r="T305" s="213" t="s">
        <v>5135</v>
      </c>
      <c r="U305" s="213">
        <v>782</v>
      </c>
      <c r="V305" s="113">
        <v>409</v>
      </c>
      <c r="W305" s="113">
        <f t="shared" si="66"/>
        <v>319838</v>
      </c>
      <c r="X305" s="36" t="s">
        <v>750</v>
      </c>
      <c r="AH305" s="20">
        <v>72</v>
      </c>
      <c r="AI305" s="20" t="s">
        <v>5056</v>
      </c>
      <c r="AJ305" s="117">
        <v>206000</v>
      </c>
      <c r="AK305" s="20">
        <v>0</v>
      </c>
      <c r="AL305" s="20">
        <f t="shared" si="79"/>
        <v>142</v>
      </c>
      <c r="AM305" s="20">
        <f t="shared" si="80"/>
        <v>29252000</v>
      </c>
      <c r="AN305" s="20"/>
    </row>
    <row r="306" spans="17:40">
      <c r="Q306" s="99" t="s">
        <v>4482</v>
      </c>
      <c r="R306" s="95">
        <v>13300000</v>
      </c>
      <c r="T306" s="213" t="s">
        <v>5140</v>
      </c>
      <c r="U306" s="213">
        <v>1220</v>
      </c>
      <c r="V306" s="113">
        <v>409.9</v>
      </c>
      <c r="W306" s="113">
        <f t="shared" si="66"/>
        <v>500078</v>
      </c>
      <c r="X306" s="36" t="s">
        <v>750</v>
      </c>
      <c r="AH306" s="149">
        <v>73</v>
      </c>
      <c r="AI306" s="149" t="s">
        <v>5056</v>
      </c>
      <c r="AJ306" s="188">
        <v>206000</v>
      </c>
      <c r="AK306" s="149">
        <v>2</v>
      </c>
      <c r="AL306" s="149">
        <f t="shared" si="79"/>
        <v>142</v>
      </c>
      <c r="AM306" s="149">
        <f t="shared" si="80"/>
        <v>29252000</v>
      </c>
      <c r="AN306" s="149"/>
    </row>
    <row r="307" spans="17:40">
      <c r="Q307" s="99" t="s">
        <v>4490</v>
      </c>
      <c r="R307" s="95">
        <v>2269000</v>
      </c>
      <c r="T307" s="213" t="s">
        <v>5143</v>
      </c>
      <c r="U307" s="213">
        <v>1285</v>
      </c>
      <c r="V307" s="113">
        <v>388.84</v>
      </c>
      <c r="W307" s="113">
        <f t="shared" si="66"/>
        <v>499659.39999999997</v>
      </c>
      <c r="X307" s="36" t="s">
        <v>452</v>
      </c>
      <c r="AH307" s="20">
        <v>74</v>
      </c>
      <c r="AI307" s="20" t="s">
        <v>5063</v>
      </c>
      <c r="AJ307" s="117">
        <v>50000</v>
      </c>
      <c r="AK307" s="20">
        <v>0</v>
      </c>
      <c r="AL307" s="20">
        <f t="shared" si="79"/>
        <v>140</v>
      </c>
      <c r="AM307" s="20">
        <f t="shared" si="80"/>
        <v>7000000</v>
      </c>
      <c r="AN307" s="20"/>
    </row>
    <row r="308" spans="17:40">
      <c r="Q308" s="99" t="s">
        <v>4605</v>
      </c>
      <c r="R308" s="95">
        <v>25071612</v>
      </c>
      <c r="T308" s="213" t="s">
        <v>5128</v>
      </c>
      <c r="U308" s="213">
        <v>1924</v>
      </c>
      <c r="V308" s="113">
        <v>386.69600000000003</v>
      </c>
      <c r="W308" s="113">
        <f t="shared" si="66"/>
        <v>744003.10400000005</v>
      </c>
      <c r="X308" s="36" t="s">
        <v>452</v>
      </c>
      <c r="AH308" s="260">
        <v>75</v>
      </c>
      <c r="AI308" s="260" t="s">
        <v>5063</v>
      </c>
      <c r="AJ308" s="251">
        <v>50000</v>
      </c>
      <c r="AK308" s="260">
        <v>2</v>
      </c>
      <c r="AL308" s="260">
        <f t="shared" si="79"/>
        <v>140</v>
      </c>
      <c r="AM308" s="260">
        <f t="shared" si="80"/>
        <v>7000000</v>
      </c>
      <c r="AN308" s="260"/>
    </row>
    <row r="309" spans="17:40">
      <c r="Q309" s="99" t="s">
        <v>4614</v>
      </c>
      <c r="R309" s="95">
        <v>42236984</v>
      </c>
      <c r="T309" s="213" t="s">
        <v>5159</v>
      </c>
      <c r="U309" s="213">
        <v>165</v>
      </c>
      <c r="V309" s="113">
        <v>393.5</v>
      </c>
      <c r="W309" s="113">
        <f t="shared" si="66"/>
        <v>64927.5</v>
      </c>
      <c r="X309" s="36" t="s">
        <v>452</v>
      </c>
      <c r="AH309" s="20">
        <v>76</v>
      </c>
      <c r="AI309" s="20" t="s">
        <v>5070</v>
      </c>
      <c r="AJ309" s="117">
        <v>20000000</v>
      </c>
      <c r="AK309" s="20">
        <v>7</v>
      </c>
      <c r="AL309" s="20">
        <f t="shared" si="79"/>
        <v>138</v>
      </c>
      <c r="AM309" s="20">
        <f t="shared" si="80"/>
        <v>2760000000</v>
      </c>
      <c r="AN309" s="20" t="s">
        <v>5071</v>
      </c>
    </row>
    <row r="310" spans="17:40" ht="30">
      <c r="Q310" s="99" t="s">
        <v>4615</v>
      </c>
      <c r="R310" s="95">
        <v>19663646</v>
      </c>
      <c r="T310" s="213" t="s">
        <v>5167</v>
      </c>
      <c r="U310" s="213">
        <v>-34859</v>
      </c>
      <c r="V310" s="113">
        <v>403.1585</v>
      </c>
      <c r="W310" s="113">
        <f t="shared" si="66"/>
        <v>-14053702.1515</v>
      </c>
      <c r="X310" s="36" t="s">
        <v>5171</v>
      </c>
      <c r="AH310" s="20">
        <v>77</v>
      </c>
      <c r="AI310" s="20" t="s">
        <v>5083</v>
      </c>
      <c r="AJ310" s="117">
        <v>50000</v>
      </c>
      <c r="AK310" s="20">
        <v>0</v>
      </c>
      <c r="AL310" s="20">
        <f t="shared" si="79"/>
        <v>131</v>
      </c>
      <c r="AM310" s="20">
        <f t="shared" si="80"/>
        <v>6550000</v>
      </c>
      <c r="AN310" s="20"/>
    </row>
    <row r="311" spans="17:40">
      <c r="Q311" s="99" t="s">
        <v>4639</v>
      </c>
      <c r="R311" s="95">
        <v>4374525</v>
      </c>
      <c r="T311" s="213" t="s">
        <v>5129</v>
      </c>
      <c r="U311" s="213">
        <v>8476</v>
      </c>
      <c r="V311" s="113">
        <v>419.49900000000002</v>
      </c>
      <c r="W311" s="113">
        <f t="shared" si="66"/>
        <v>3555673.5240000002</v>
      </c>
      <c r="X311" s="36" t="s">
        <v>5179</v>
      </c>
      <c r="AH311" s="149">
        <v>78</v>
      </c>
      <c r="AI311" s="149" t="s">
        <v>5083</v>
      </c>
      <c r="AJ311" s="188">
        <v>50000</v>
      </c>
      <c r="AK311" s="149">
        <v>7</v>
      </c>
      <c r="AL311" s="149">
        <f t="shared" si="79"/>
        <v>131</v>
      </c>
      <c r="AM311" s="149">
        <f t="shared" si="80"/>
        <v>6550000</v>
      </c>
      <c r="AN311" s="149"/>
    </row>
    <row r="312" spans="17:40">
      <c r="Q312" s="99" t="s">
        <v>4651</v>
      </c>
      <c r="R312" s="95">
        <v>6550580</v>
      </c>
      <c r="T312" s="213" t="s">
        <v>5195</v>
      </c>
      <c r="U312" s="213">
        <v>903</v>
      </c>
      <c r="V312" s="113">
        <v>442.77379999999999</v>
      </c>
      <c r="W312" s="113">
        <f t="shared" si="66"/>
        <v>399824.7414</v>
      </c>
      <c r="X312" s="36" t="s">
        <v>750</v>
      </c>
      <c r="AH312" s="20">
        <v>79</v>
      </c>
      <c r="AI312" s="20" t="s">
        <v>5090</v>
      </c>
      <c r="AJ312" s="117">
        <v>2480000</v>
      </c>
      <c r="AK312" s="20">
        <v>0</v>
      </c>
      <c r="AL312" s="20">
        <f t="shared" si="79"/>
        <v>124</v>
      </c>
      <c r="AM312" s="20">
        <f t="shared" si="80"/>
        <v>307520000</v>
      </c>
      <c r="AN312" s="20"/>
    </row>
    <row r="313" spans="17:40">
      <c r="Q313" s="99" t="s">
        <v>4653</v>
      </c>
      <c r="R313" s="95">
        <v>7054895</v>
      </c>
      <c r="T313" s="213" t="s">
        <v>5200</v>
      </c>
      <c r="U313" s="213">
        <v>113</v>
      </c>
      <c r="V313" s="113">
        <v>442.48200000000003</v>
      </c>
      <c r="W313" s="113">
        <f t="shared" ref="W313:W349" si="81">U313*V313</f>
        <v>50000.466</v>
      </c>
      <c r="X313" s="36" t="s">
        <v>750</v>
      </c>
      <c r="AH313" s="149">
        <v>80</v>
      </c>
      <c r="AI313" s="149" t="s">
        <v>5090</v>
      </c>
      <c r="AJ313" s="188">
        <v>2480000</v>
      </c>
      <c r="AK313" s="149">
        <v>12</v>
      </c>
      <c r="AL313" s="149">
        <f t="shared" si="79"/>
        <v>124</v>
      </c>
      <c r="AM313" s="149">
        <f t="shared" si="80"/>
        <v>307520000</v>
      </c>
      <c r="AN313" s="149"/>
    </row>
    <row r="314" spans="17:40">
      <c r="Q314" s="99" t="s">
        <v>4676</v>
      </c>
      <c r="R314" s="95">
        <v>2145814</v>
      </c>
      <c r="T314" s="213" t="s">
        <v>5211</v>
      </c>
      <c r="U314" s="213">
        <v>671</v>
      </c>
      <c r="V314" s="113">
        <v>447</v>
      </c>
      <c r="W314" s="113">
        <f t="shared" si="81"/>
        <v>299937</v>
      </c>
      <c r="X314" s="36" t="s">
        <v>750</v>
      </c>
      <c r="AH314" s="20">
        <v>81</v>
      </c>
      <c r="AI314" s="20" t="s">
        <v>5099</v>
      </c>
      <c r="AJ314" s="117">
        <v>-24159500</v>
      </c>
      <c r="AK314" s="20">
        <v>4</v>
      </c>
      <c r="AL314" s="20">
        <f t="shared" si="79"/>
        <v>112</v>
      </c>
      <c r="AM314" s="20">
        <f t="shared" si="80"/>
        <v>-2705864000</v>
      </c>
      <c r="AN314" s="20" t="s">
        <v>5114</v>
      </c>
    </row>
    <row r="315" spans="17:40">
      <c r="Q315" s="99" t="s">
        <v>4687</v>
      </c>
      <c r="R315" s="95">
        <v>4369730</v>
      </c>
      <c r="T315" s="213" t="s">
        <v>5213</v>
      </c>
      <c r="U315" s="213">
        <v>7</v>
      </c>
      <c r="V315" s="113">
        <v>465.31200000000001</v>
      </c>
      <c r="W315" s="113">
        <f t="shared" si="81"/>
        <v>3257.1840000000002</v>
      </c>
      <c r="X315" s="36" t="s">
        <v>452</v>
      </c>
      <c r="AH315" s="20">
        <v>82</v>
      </c>
      <c r="AI315" s="20" t="s">
        <v>5116</v>
      </c>
      <c r="AJ315" s="117">
        <v>400000</v>
      </c>
      <c r="AK315" s="20">
        <v>3</v>
      </c>
      <c r="AL315" s="20">
        <f t="shared" si="79"/>
        <v>108</v>
      </c>
      <c r="AM315" s="20">
        <f t="shared" si="80"/>
        <v>43200000</v>
      </c>
      <c r="AN315" s="20"/>
    </row>
    <row r="316" spans="17:40">
      <c r="Q316" s="99" t="s">
        <v>4689</v>
      </c>
      <c r="R316" s="95">
        <v>8739459</v>
      </c>
      <c r="T316" s="213" t="s">
        <v>5222</v>
      </c>
      <c r="U316" s="213">
        <v>12950</v>
      </c>
      <c r="V316" s="113">
        <v>463.31599999999997</v>
      </c>
      <c r="W316" s="113">
        <f t="shared" si="81"/>
        <v>5999942.1999999993</v>
      </c>
      <c r="X316" s="36" t="s">
        <v>452</v>
      </c>
      <c r="AH316" s="149">
        <v>83</v>
      </c>
      <c r="AI316" s="149" t="s">
        <v>5123</v>
      </c>
      <c r="AJ316" s="188">
        <v>40000</v>
      </c>
      <c r="AK316" s="149">
        <v>0</v>
      </c>
      <c r="AL316" s="149">
        <f t="shared" si="79"/>
        <v>105</v>
      </c>
      <c r="AM316" s="149">
        <f t="shared" si="80"/>
        <v>4200000</v>
      </c>
      <c r="AN316" s="149"/>
    </row>
    <row r="317" spans="17:40">
      <c r="Q317" s="99" t="s">
        <v>4698</v>
      </c>
      <c r="R317" s="95">
        <v>6667654</v>
      </c>
      <c r="T317" s="213" t="s">
        <v>5228</v>
      </c>
      <c r="U317" s="213">
        <v>37</v>
      </c>
      <c r="V317" s="113">
        <v>463.315</v>
      </c>
      <c r="W317" s="113">
        <f t="shared" si="81"/>
        <v>17142.654999999999</v>
      </c>
      <c r="X317" s="36" t="s">
        <v>452</v>
      </c>
      <c r="AH317" s="20">
        <v>84</v>
      </c>
      <c r="AI317" s="20" t="s">
        <v>5123</v>
      </c>
      <c r="AJ317" s="117">
        <v>40000</v>
      </c>
      <c r="AK317" s="20">
        <v>5</v>
      </c>
      <c r="AL317" s="20">
        <f t="shared" si="79"/>
        <v>105</v>
      </c>
      <c r="AM317" s="20">
        <f t="shared" si="80"/>
        <v>4200000</v>
      </c>
      <c r="AN317" s="20"/>
    </row>
    <row r="318" spans="17:40">
      <c r="Q318" s="99" t="s">
        <v>3681</v>
      </c>
      <c r="R318" s="95">
        <v>8981245</v>
      </c>
      <c r="T318" s="213" t="s">
        <v>5229</v>
      </c>
      <c r="U318" s="213">
        <v>19</v>
      </c>
      <c r="V318" s="113">
        <v>434.3</v>
      </c>
      <c r="W318" s="113">
        <f t="shared" si="81"/>
        <v>8251.7000000000007</v>
      </c>
      <c r="X318" s="36" t="s">
        <v>452</v>
      </c>
      <c r="Y318" t="s">
        <v>25</v>
      </c>
      <c r="AH318" s="20">
        <v>85</v>
      </c>
      <c r="AI318" s="20" t="s">
        <v>5135</v>
      </c>
      <c r="AJ318" s="117">
        <v>200000</v>
      </c>
      <c r="AK318" s="20">
        <v>1</v>
      </c>
      <c r="AL318" s="20">
        <f t="shared" si="79"/>
        <v>100</v>
      </c>
      <c r="AM318" s="20">
        <f t="shared" si="80"/>
        <v>20000000</v>
      </c>
      <c r="AN318" s="20"/>
    </row>
    <row r="319" spans="17:40">
      <c r="Q319" s="99" t="s">
        <v>4711</v>
      </c>
      <c r="R319" s="95">
        <v>9181756</v>
      </c>
      <c r="T319" s="213" t="s">
        <v>5231</v>
      </c>
      <c r="U319" s="213">
        <v>16</v>
      </c>
      <c r="V319" s="113">
        <v>439</v>
      </c>
      <c r="W319" s="113">
        <f t="shared" si="81"/>
        <v>7024</v>
      </c>
      <c r="X319" s="36" t="s">
        <v>452</v>
      </c>
      <c r="AH319" s="20">
        <v>86</v>
      </c>
      <c r="AI319" s="20" t="s">
        <v>5140</v>
      </c>
      <c r="AJ319" s="117">
        <v>500000</v>
      </c>
      <c r="AK319" s="20">
        <v>2</v>
      </c>
      <c r="AL319" s="20">
        <f t="shared" ref="AL319:AL363" si="82">AK319+AL320</f>
        <v>99</v>
      </c>
      <c r="AM319" s="20">
        <f t="shared" ref="AM319:AM363" si="83">AJ319*AL319</f>
        <v>49500000</v>
      </c>
      <c r="AN319" s="20"/>
    </row>
    <row r="320" spans="17:40" ht="45">
      <c r="Q320" s="99" t="s">
        <v>4715</v>
      </c>
      <c r="R320" s="95">
        <v>11811208</v>
      </c>
      <c r="T320" s="213" t="s">
        <v>5231</v>
      </c>
      <c r="U320" s="213">
        <v>9191</v>
      </c>
      <c r="V320" s="113">
        <v>440.24630000000002</v>
      </c>
      <c r="W320" s="113">
        <f t="shared" si="81"/>
        <v>4046303.7433000002</v>
      </c>
      <c r="X320" s="36" t="s">
        <v>5234</v>
      </c>
      <c r="AH320" s="20">
        <v>87</v>
      </c>
      <c r="AI320" s="20" t="s">
        <v>5143</v>
      </c>
      <c r="AJ320" s="117">
        <v>500000</v>
      </c>
      <c r="AK320" s="20">
        <v>3</v>
      </c>
      <c r="AL320" s="20">
        <f t="shared" si="82"/>
        <v>97</v>
      </c>
      <c r="AM320" s="20">
        <f t="shared" si="83"/>
        <v>48500000</v>
      </c>
      <c r="AN320" s="20"/>
    </row>
    <row r="321" spans="17:44">
      <c r="Q321" s="99" t="s">
        <v>4729</v>
      </c>
      <c r="R321" s="95">
        <v>41248054</v>
      </c>
      <c r="T321" s="213" t="s">
        <v>5236</v>
      </c>
      <c r="U321" s="213">
        <v>-8792</v>
      </c>
      <c r="V321" s="113">
        <v>441.90665999999999</v>
      </c>
      <c r="W321" s="113">
        <f t="shared" si="81"/>
        <v>-3885243.3547199997</v>
      </c>
      <c r="X321" s="36" t="s">
        <v>5237</v>
      </c>
      <c r="AH321" s="20">
        <v>88</v>
      </c>
      <c r="AI321" s="20" t="s">
        <v>5128</v>
      </c>
      <c r="AJ321" s="117">
        <v>250000</v>
      </c>
      <c r="AK321" s="20">
        <v>0</v>
      </c>
      <c r="AL321" s="20">
        <f t="shared" si="82"/>
        <v>94</v>
      </c>
      <c r="AM321" s="20">
        <f t="shared" si="83"/>
        <v>23500000</v>
      </c>
      <c r="AN321" s="20"/>
    </row>
    <row r="322" spans="17:44">
      <c r="Q322" s="99" t="s">
        <v>4737</v>
      </c>
      <c r="R322" s="95">
        <v>37328780</v>
      </c>
      <c r="T322" s="213" t="s">
        <v>5241</v>
      </c>
      <c r="U322" s="213">
        <v>24374</v>
      </c>
      <c r="V322" s="113">
        <v>471.81700000000001</v>
      </c>
      <c r="W322" s="113">
        <f t="shared" si="81"/>
        <v>11500067.558</v>
      </c>
      <c r="X322" s="36" t="s">
        <v>5245</v>
      </c>
      <c r="AH322" s="260">
        <v>89</v>
      </c>
      <c r="AI322" s="260" t="s">
        <v>5128</v>
      </c>
      <c r="AJ322" s="251">
        <v>245000</v>
      </c>
      <c r="AK322" s="260">
        <v>16</v>
      </c>
      <c r="AL322" s="260">
        <f t="shared" si="82"/>
        <v>94</v>
      </c>
      <c r="AM322" s="260">
        <f t="shared" si="83"/>
        <v>23030000</v>
      </c>
      <c r="AN322" s="260"/>
    </row>
    <row r="323" spans="17:44">
      <c r="Q323" s="99" t="s">
        <v>4744</v>
      </c>
      <c r="R323" s="95">
        <v>50000000</v>
      </c>
      <c r="T323" s="213" t="s">
        <v>5247</v>
      </c>
      <c r="U323" s="213">
        <v>530</v>
      </c>
      <c r="V323" s="113">
        <v>472</v>
      </c>
      <c r="W323" s="113">
        <f t="shared" si="81"/>
        <v>250160</v>
      </c>
      <c r="X323" s="36" t="s">
        <v>750</v>
      </c>
      <c r="AH323" s="20">
        <v>90</v>
      </c>
      <c r="AI323" s="20" t="s">
        <v>5172</v>
      </c>
      <c r="AJ323" s="117">
        <v>312598</v>
      </c>
      <c r="AK323" s="20">
        <v>0</v>
      </c>
      <c r="AL323" s="20">
        <f t="shared" si="82"/>
        <v>78</v>
      </c>
      <c r="AM323" s="20">
        <f t="shared" si="83"/>
        <v>24382644</v>
      </c>
      <c r="AN323" s="20"/>
    </row>
    <row r="324" spans="17:44" ht="30">
      <c r="Q324" s="99" t="s">
        <v>4807</v>
      </c>
      <c r="R324" s="95">
        <v>68656</v>
      </c>
      <c r="T324" s="213" t="s">
        <v>5247</v>
      </c>
      <c r="U324" s="213">
        <v>12</v>
      </c>
      <c r="V324" s="113">
        <v>481.86</v>
      </c>
      <c r="W324" s="113">
        <f t="shared" si="81"/>
        <v>5782.32</v>
      </c>
      <c r="X324" s="36" t="s">
        <v>5252</v>
      </c>
      <c r="Y324" t="s">
        <v>25</v>
      </c>
      <c r="AH324" s="20">
        <v>91</v>
      </c>
      <c r="AI324" s="20" t="s">
        <v>5172</v>
      </c>
      <c r="AJ324" s="117">
        <v>780000</v>
      </c>
      <c r="AK324" s="20">
        <v>0</v>
      </c>
      <c r="AL324" s="20">
        <f t="shared" si="82"/>
        <v>78</v>
      </c>
      <c r="AM324" s="20">
        <f t="shared" si="83"/>
        <v>60840000</v>
      </c>
      <c r="AN324" s="20"/>
    </row>
    <row r="325" spans="17:44">
      <c r="Q325" s="99" t="s">
        <v>4820</v>
      </c>
      <c r="R325" s="95">
        <v>4000236</v>
      </c>
      <c r="T325" s="213" t="s">
        <v>5275</v>
      </c>
      <c r="U325" s="213">
        <v>12330</v>
      </c>
      <c r="V325" s="113">
        <v>486.63443869999998</v>
      </c>
      <c r="W325" s="113">
        <f t="shared" si="81"/>
        <v>6000202.6291709999</v>
      </c>
      <c r="X325" s="36" t="s">
        <v>5245</v>
      </c>
      <c r="AH325" s="195">
        <v>92</v>
      </c>
      <c r="AI325" s="195" t="s">
        <v>5172</v>
      </c>
      <c r="AJ325" s="196">
        <v>-300000</v>
      </c>
      <c r="AK325" s="195">
        <v>1</v>
      </c>
      <c r="AL325" s="195">
        <f t="shared" si="82"/>
        <v>78</v>
      </c>
      <c r="AM325" s="195">
        <f t="shared" si="83"/>
        <v>-23400000</v>
      </c>
      <c r="AN325" s="195"/>
    </row>
    <row r="326" spans="17:44">
      <c r="Q326" s="99" t="s">
        <v>4820</v>
      </c>
      <c r="R326" s="95">
        <v>2250000</v>
      </c>
      <c r="T326" s="213" t="s">
        <v>5280</v>
      </c>
      <c r="U326" s="213">
        <v>846</v>
      </c>
      <c r="V326" s="113">
        <v>472.7</v>
      </c>
      <c r="W326" s="113">
        <f t="shared" si="81"/>
        <v>399904.2</v>
      </c>
      <c r="X326" s="36" t="s">
        <v>452</v>
      </c>
      <c r="AH326" s="20">
        <v>93</v>
      </c>
      <c r="AI326" s="20" t="s">
        <v>5129</v>
      </c>
      <c r="AJ326" s="117">
        <v>300000</v>
      </c>
      <c r="AK326" s="20">
        <v>0</v>
      </c>
      <c r="AL326" s="20">
        <f t="shared" si="82"/>
        <v>77</v>
      </c>
      <c r="AM326" s="20">
        <f t="shared" si="83"/>
        <v>23100000</v>
      </c>
      <c r="AN326" s="20"/>
    </row>
    <row r="327" spans="17:44">
      <c r="Q327" s="99" t="s">
        <v>4825</v>
      </c>
      <c r="R327" s="95">
        <v>-2512200</v>
      </c>
      <c r="T327" s="213" t="s">
        <v>5280</v>
      </c>
      <c r="U327" s="213">
        <v>3173</v>
      </c>
      <c r="V327" s="113">
        <v>472.7</v>
      </c>
      <c r="W327" s="113">
        <f t="shared" si="81"/>
        <v>1499877.0999999999</v>
      </c>
      <c r="X327" s="36" t="s">
        <v>1084</v>
      </c>
      <c r="AH327" s="20">
        <v>94</v>
      </c>
      <c r="AI327" s="20" t="s">
        <v>5129</v>
      </c>
      <c r="AJ327" s="117">
        <v>8660000</v>
      </c>
      <c r="AK327" s="20">
        <v>8</v>
      </c>
      <c r="AL327" s="20">
        <f t="shared" si="82"/>
        <v>77</v>
      </c>
      <c r="AM327" s="20">
        <f t="shared" si="83"/>
        <v>666820000</v>
      </c>
      <c r="AN327" s="20"/>
    </row>
    <row r="328" spans="17:44">
      <c r="Q328" s="99" t="s">
        <v>4834</v>
      </c>
      <c r="R328" s="95">
        <v>300000</v>
      </c>
      <c r="T328" s="213" t="s">
        <v>5286</v>
      </c>
      <c r="U328" s="213">
        <v>191</v>
      </c>
      <c r="V328" s="113">
        <v>484.572</v>
      </c>
      <c r="W328" s="113">
        <f t="shared" si="81"/>
        <v>92553.252000000008</v>
      </c>
      <c r="X328" s="36" t="s">
        <v>5287</v>
      </c>
      <c r="AH328" s="149">
        <v>95</v>
      </c>
      <c r="AI328" s="149" t="s">
        <v>5195</v>
      </c>
      <c r="AJ328" s="188">
        <v>200000</v>
      </c>
      <c r="AK328" s="149">
        <v>3</v>
      </c>
      <c r="AL328" s="149">
        <f t="shared" si="82"/>
        <v>69</v>
      </c>
      <c r="AM328" s="149">
        <f t="shared" si="83"/>
        <v>13800000</v>
      </c>
      <c r="AN328" s="149"/>
    </row>
    <row r="329" spans="17:44">
      <c r="Q329" s="99" t="s">
        <v>979</v>
      </c>
      <c r="R329" s="95">
        <v>1100000</v>
      </c>
      <c r="T329" s="213" t="s">
        <v>5286</v>
      </c>
      <c r="U329" s="213">
        <v>-206</v>
      </c>
      <c r="V329" s="113">
        <v>484.572</v>
      </c>
      <c r="W329" s="113">
        <f t="shared" si="81"/>
        <v>-99821.831999999995</v>
      </c>
      <c r="X329" s="36" t="s">
        <v>5289</v>
      </c>
      <c r="AH329" s="149">
        <v>96</v>
      </c>
      <c r="AI329" s="149" t="s">
        <v>5200</v>
      </c>
      <c r="AJ329" s="188">
        <v>20000</v>
      </c>
      <c r="AK329" s="149">
        <v>1</v>
      </c>
      <c r="AL329" s="149">
        <f t="shared" si="82"/>
        <v>66</v>
      </c>
      <c r="AM329" s="149">
        <f t="shared" si="83"/>
        <v>1320000</v>
      </c>
      <c r="AN329" s="149"/>
    </row>
    <row r="330" spans="17:44">
      <c r="Q330" s="99" t="s">
        <v>4841</v>
      </c>
      <c r="R330" s="95">
        <v>890000</v>
      </c>
      <c r="T330" s="213" t="s">
        <v>5291</v>
      </c>
      <c r="U330" s="213">
        <v>20685</v>
      </c>
      <c r="V330" s="113">
        <v>483.43312200000003</v>
      </c>
      <c r="W330" s="113">
        <f t="shared" si="81"/>
        <v>9999814.1285699997</v>
      </c>
      <c r="X330" s="36" t="s">
        <v>5296</v>
      </c>
      <c r="AH330" s="20">
        <v>97</v>
      </c>
      <c r="AI330" s="20" t="s">
        <v>5211</v>
      </c>
      <c r="AJ330" s="117">
        <v>14340000</v>
      </c>
      <c r="AK330" s="20">
        <v>7</v>
      </c>
      <c r="AL330" s="20">
        <f t="shared" si="82"/>
        <v>65</v>
      </c>
      <c r="AM330" s="20">
        <f t="shared" si="83"/>
        <v>932100000</v>
      </c>
      <c r="AN330" s="20"/>
    </row>
    <row r="331" spans="17:44">
      <c r="Q331" s="99" t="s">
        <v>4861</v>
      </c>
      <c r="R331" s="95">
        <v>1000000</v>
      </c>
      <c r="T331" s="213" t="s">
        <v>5291</v>
      </c>
      <c r="U331" s="213">
        <v>-413</v>
      </c>
      <c r="V331" s="113">
        <v>483.40199999999999</v>
      </c>
      <c r="W331" s="113">
        <f t="shared" si="81"/>
        <v>-199645.02599999998</v>
      </c>
      <c r="X331" s="36" t="s">
        <v>4436</v>
      </c>
      <c r="AH331" s="20">
        <v>98</v>
      </c>
      <c r="AI331" s="20" t="s">
        <v>5222</v>
      </c>
      <c r="AJ331" s="117">
        <v>10000000</v>
      </c>
      <c r="AK331" s="20">
        <v>6</v>
      </c>
      <c r="AL331" s="20">
        <f t="shared" si="82"/>
        <v>58</v>
      </c>
      <c r="AM331" s="20">
        <f t="shared" si="83"/>
        <v>580000000</v>
      </c>
      <c r="AN331" s="20" t="s">
        <v>4746</v>
      </c>
    </row>
    <row r="332" spans="17:44">
      <c r="Q332" s="99" t="s">
        <v>4862</v>
      </c>
      <c r="R332" s="95">
        <v>45436311</v>
      </c>
      <c r="T332" s="213" t="s">
        <v>5291</v>
      </c>
      <c r="U332" s="213">
        <v>413</v>
      </c>
      <c r="V332" s="113">
        <v>483.40199999999999</v>
      </c>
      <c r="W332" s="113">
        <f t="shared" si="81"/>
        <v>199645.02599999998</v>
      </c>
      <c r="X332" s="36" t="s">
        <v>750</v>
      </c>
      <c r="Z332" t="s">
        <v>25</v>
      </c>
      <c r="AH332" s="20">
        <v>99</v>
      </c>
      <c r="AI332" s="20" t="s">
        <v>5231</v>
      </c>
      <c r="AJ332" s="117">
        <v>4033949</v>
      </c>
      <c r="AK332" s="20">
        <v>2</v>
      </c>
      <c r="AL332" s="20">
        <f t="shared" si="82"/>
        <v>52</v>
      </c>
      <c r="AM332" s="20">
        <f t="shared" si="83"/>
        <v>209765348</v>
      </c>
      <c r="AN332" s="20" t="s">
        <v>5235</v>
      </c>
      <c r="AR332" t="s">
        <v>25</v>
      </c>
    </row>
    <row r="333" spans="17:44">
      <c r="Q333" s="99" t="s">
        <v>4862</v>
      </c>
      <c r="R333" s="95">
        <v>-3500000</v>
      </c>
      <c r="T333" s="213" t="s">
        <v>5300</v>
      </c>
      <c r="U333" s="213">
        <v>-828</v>
      </c>
      <c r="V333" s="113">
        <v>483.43312200000003</v>
      </c>
      <c r="W333" s="113">
        <f t="shared" si="81"/>
        <v>-400282.62501600001</v>
      </c>
      <c r="X333" s="36" t="s">
        <v>452</v>
      </c>
      <c r="AH333" s="149">
        <v>100</v>
      </c>
      <c r="AI333" s="149" t="s">
        <v>5240</v>
      </c>
      <c r="AJ333" s="188">
        <v>11500000</v>
      </c>
      <c r="AK333" s="149">
        <v>2</v>
      </c>
      <c r="AL333" s="149">
        <f t="shared" si="82"/>
        <v>50</v>
      </c>
      <c r="AM333" s="149">
        <f t="shared" si="83"/>
        <v>575000000</v>
      </c>
      <c r="AN333" s="149" t="s">
        <v>5243</v>
      </c>
    </row>
    <row r="334" spans="17:44">
      <c r="Q334" s="99" t="s">
        <v>4875</v>
      </c>
      <c r="R334" s="95">
        <v>2520000</v>
      </c>
      <c r="T334" s="213" t="s">
        <v>5307</v>
      </c>
      <c r="U334" s="213">
        <v>12</v>
      </c>
      <c r="V334" s="113">
        <v>473.61898300000001</v>
      </c>
      <c r="W334" s="113">
        <f t="shared" si="81"/>
        <v>5683.4277959999999</v>
      </c>
      <c r="X334" s="36" t="s">
        <v>452</v>
      </c>
      <c r="AH334" s="149">
        <v>101</v>
      </c>
      <c r="AI334" s="149" t="s">
        <v>5247</v>
      </c>
      <c r="AJ334" s="188">
        <v>250000</v>
      </c>
      <c r="AK334" s="149">
        <v>3</v>
      </c>
      <c r="AL334" s="149">
        <f t="shared" si="82"/>
        <v>48</v>
      </c>
      <c r="AM334" s="149">
        <f t="shared" si="83"/>
        <v>12000000</v>
      </c>
      <c r="AN334" s="149"/>
    </row>
    <row r="335" spans="17:44">
      <c r="Q335" s="99" t="s">
        <v>4910</v>
      </c>
      <c r="R335" s="95">
        <v>4900000</v>
      </c>
      <c r="S335" s="114"/>
      <c r="T335" s="213" t="s">
        <v>5311</v>
      </c>
      <c r="U335" s="213">
        <v>963</v>
      </c>
      <c r="V335" s="113">
        <v>477.92200000000003</v>
      </c>
      <c r="W335" s="113">
        <f t="shared" si="81"/>
        <v>460238.886</v>
      </c>
      <c r="X335" s="36" t="s">
        <v>452</v>
      </c>
      <c r="AH335" s="149">
        <v>102</v>
      </c>
      <c r="AI335" s="149" t="s">
        <v>5275</v>
      </c>
      <c r="AJ335" s="188">
        <v>6000000</v>
      </c>
      <c r="AK335" s="149">
        <v>1</v>
      </c>
      <c r="AL335" s="149">
        <f t="shared" si="82"/>
        <v>45</v>
      </c>
      <c r="AM335" s="149">
        <f t="shared" si="83"/>
        <v>270000000</v>
      </c>
      <c r="AN335" s="149" t="s">
        <v>5243</v>
      </c>
    </row>
    <row r="336" spans="17:44">
      <c r="Q336" s="99" t="s">
        <v>4931</v>
      </c>
      <c r="R336" s="95">
        <v>1150000</v>
      </c>
      <c r="T336" s="213" t="s">
        <v>5312</v>
      </c>
      <c r="U336" s="213">
        <v>2815</v>
      </c>
      <c r="V336" s="113">
        <v>461.79</v>
      </c>
      <c r="W336" s="113">
        <f t="shared" si="81"/>
        <v>1299938.8500000001</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4882</v>
      </c>
      <c r="R337" s="95">
        <v>250000</v>
      </c>
      <c r="T337" s="213" t="s">
        <v>5312</v>
      </c>
      <c r="U337" s="213">
        <v>1581</v>
      </c>
      <c r="V337" s="113">
        <v>461.79</v>
      </c>
      <c r="W337" s="113">
        <f t="shared" si="81"/>
        <v>730089.99</v>
      </c>
      <c r="X337" s="36" t="s">
        <v>452</v>
      </c>
      <c r="AH337" s="20">
        <v>104</v>
      </c>
      <c r="AI337" s="20" t="s">
        <v>973</v>
      </c>
      <c r="AJ337" s="117">
        <v>-3960043</v>
      </c>
      <c r="AK337" s="20">
        <v>2</v>
      </c>
      <c r="AL337" s="20">
        <f t="shared" si="82"/>
        <v>38</v>
      </c>
      <c r="AM337" s="20">
        <f t="shared" si="83"/>
        <v>-150481634</v>
      </c>
      <c r="AN337" s="20"/>
      <c r="AS337" t="s">
        <v>25</v>
      </c>
    </row>
    <row r="338" spans="17:46">
      <c r="Q338" s="99" t="s">
        <v>4972</v>
      </c>
      <c r="R338" s="95">
        <v>1403460</v>
      </c>
      <c r="T338" s="213" t="s">
        <v>5323</v>
      </c>
      <c r="U338" s="213">
        <v>1916</v>
      </c>
      <c r="V338" s="113">
        <v>521.70000000000005</v>
      </c>
      <c r="W338" s="113">
        <f t="shared" si="81"/>
        <v>999577.20000000007</v>
      </c>
      <c r="X338" s="36" t="s">
        <v>1084</v>
      </c>
      <c r="AH338" s="20">
        <v>105</v>
      </c>
      <c r="AI338" s="20" t="s">
        <v>5311</v>
      </c>
      <c r="AJ338" s="117">
        <v>230000</v>
      </c>
      <c r="AK338" s="20">
        <v>0</v>
      </c>
      <c r="AL338" s="20">
        <f t="shared" si="82"/>
        <v>36</v>
      </c>
      <c r="AM338" s="20">
        <f t="shared" si="83"/>
        <v>8280000</v>
      </c>
      <c r="AN338" s="20"/>
      <c r="AR338" t="s">
        <v>25</v>
      </c>
      <c r="AT338" s="96" t="s">
        <v>25</v>
      </c>
    </row>
    <row r="339" spans="17:46">
      <c r="Q339" s="99" t="s">
        <v>4977</v>
      </c>
      <c r="R339" s="95">
        <v>200000</v>
      </c>
      <c r="T339" s="213" t="s">
        <v>990</v>
      </c>
      <c r="U339" s="213">
        <v>41</v>
      </c>
      <c r="V339" s="113">
        <v>514.48099999999999</v>
      </c>
      <c r="W339" s="113">
        <f t="shared" si="81"/>
        <v>21093.721000000001</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4983</v>
      </c>
      <c r="R340" s="95">
        <v>345000</v>
      </c>
      <c r="T340" s="213" t="s">
        <v>4272</v>
      </c>
      <c r="U340" s="213">
        <v>71</v>
      </c>
      <c r="V340" s="113">
        <v>482.57</v>
      </c>
      <c r="W340" s="113">
        <f t="shared" si="81"/>
        <v>34262.47</v>
      </c>
      <c r="X340" s="36" t="s">
        <v>5287</v>
      </c>
      <c r="AH340" s="149">
        <v>107</v>
      </c>
      <c r="AI340" s="149" t="s">
        <v>5312</v>
      </c>
      <c r="AJ340" s="188">
        <v>500000</v>
      </c>
      <c r="AK340" s="149">
        <v>1</v>
      </c>
      <c r="AL340" s="149">
        <f t="shared" si="84"/>
        <v>35</v>
      </c>
      <c r="AM340" s="149">
        <f t="shared" si="85"/>
        <v>17500000</v>
      </c>
      <c r="AN340" s="149"/>
    </row>
    <row r="341" spans="17:46">
      <c r="Q341" s="99" t="s">
        <v>4988</v>
      </c>
      <c r="R341" s="95">
        <v>900000</v>
      </c>
      <c r="T341" s="213" t="s">
        <v>5352</v>
      </c>
      <c r="U341" s="213">
        <v>-250</v>
      </c>
      <c r="V341" s="113">
        <v>487.125</v>
      </c>
      <c r="W341" s="113">
        <f t="shared" si="81"/>
        <v>-121781.25</v>
      </c>
      <c r="X341" s="36" t="s">
        <v>4436</v>
      </c>
      <c r="AH341" s="20">
        <v>108</v>
      </c>
      <c r="AI341" s="20" t="s">
        <v>5318</v>
      </c>
      <c r="AJ341" s="117">
        <v>-880000</v>
      </c>
      <c r="AK341" s="20">
        <v>4</v>
      </c>
      <c r="AL341" s="20">
        <f t="shared" si="84"/>
        <v>34</v>
      </c>
      <c r="AM341" s="20">
        <f t="shared" si="85"/>
        <v>-29920000</v>
      </c>
      <c r="AN341" s="20"/>
    </row>
    <row r="342" spans="17:46">
      <c r="Q342" s="99" t="s">
        <v>4992</v>
      </c>
      <c r="R342" s="95">
        <v>372517</v>
      </c>
      <c r="T342" s="213" t="s">
        <v>5352</v>
      </c>
      <c r="U342" s="213">
        <v>250</v>
      </c>
      <c r="V342" s="113">
        <v>487.125</v>
      </c>
      <c r="W342" s="113">
        <f t="shared" si="81"/>
        <v>121781.25</v>
      </c>
      <c r="X342" s="36" t="s">
        <v>750</v>
      </c>
      <c r="AH342" s="195">
        <v>109</v>
      </c>
      <c r="AI342" s="195" t="s">
        <v>5323</v>
      </c>
      <c r="AJ342" s="196">
        <v>873000</v>
      </c>
      <c r="AK342" s="195">
        <v>0</v>
      </c>
      <c r="AL342" s="195">
        <f t="shared" si="84"/>
        <v>30</v>
      </c>
      <c r="AM342" s="195">
        <f t="shared" si="85"/>
        <v>26190000</v>
      </c>
      <c r="AN342" s="195" t="s">
        <v>5243</v>
      </c>
    </row>
    <row r="343" spans="17:46">
      <c r="Q343" s="99" t="s">
        <v>5003</v>
      </c>
      <c r="R343" s="95">
        <v>6489257</v>
      </c>
      <c r="T343" s="213" t="s">
        <v>5367</v>
      </c>
      <c r="U343" s="213">
        <v>-1439</v>
      </c>
      <c r="V343" s="113">
        <v>486.53068999999999</v>
      </c>
      <c r="W343" s="113">
        <f t="shared" si="81"/>
        <v>-700117.66290999996</v>
      </c>
      <c r="X343" s="36" t="s">
        <v>4436</v>
      </c>
      <c r="AH343" s="20">
        <v>110</v>
      </c>
      <c r="AI343" s="20" t="s">
        <v>5323</v>
      </c>
      <c r="AJ343" s="117">
        <v>127000</v>
      </c>
      <c r="AK343" s="20">
        <v>0</v>
      </c>
      <c r="AL343" s="20">
        <f t="shared" si="84"/>
        <v>30</v>
      </c>
      <c r="AM343" s="20">
        <f t="shared" si="85"/>
        <v>3810000</v>
      </c>
      <c r="AN343" s="20" t="s">
        <v>5243</v>
      </c>
    </row>
    <row r="344" spans="17:46">
      <c r="Q344" s="99" t="s">
        <v>5056</v>
      </c>
      <c r="R344" s="95">
        <v>618000</v>
      </c>
      <c r="T344" s="213" t="s">
        <v>5367</v>
      </c>
      <c r="U344" s="213">
        <v>411</v>
      </c>
      <c r="V344" s="113">
        <v>486.53068999999999</v>
      </c>
      <c r="W344" s="113">
        <f t="shared" si="81"/>
        <v>199964.11358999999</v>
      </c>
      <c r="X344" s="36" t="s">
        <v>750</v>
      </c>
      <c r="AH344" s="20">
        <v>111</v>
      </c>
      <c r="AI344" s="20" t="s">
        <v>5323</v>
      </c>
      <c r="AJ344" s="117">
        <v>73000</v>
      </c>
      <c r="AK344" s="20">
        <v>1</v>
      </c>
      <c r="AL344" s="20">
        <f t="shared" ref="AL344:AL348" si="86">AK344+AL345</f>
        <v>30</v>
      </c>
      <c r="AM344" s="20">
        <f t="shared" ref="AM344:AM348" si="87">AJ344*AL344</f>
        <v>2190000</v>
      </c>
      <c r="AN344" s="20"/>
    </row>
    <row r="345" spans="17:46">
      <c r="Q345" s="99" t="s">
        <v>5070</v>
      </c>
      <c r="R345" s="95">
        <v>20105000</v>
      </c>
      <c r="T345" s="213" t="s">
        <v>5310</v>
      </c>
      <c r="U345" s="213">
        <v>-4290</v>
      </c>
      <c r="V345" s="113">
        <v>497.57670000000002</v>
      </c>
      <c r="W345" s="113">
        <f t="shared" si="81"/>
        <v>-2134604.0430000001</v>
      </c>
      <c r="X345" s="36" t="s">
        <v>452</v>
      </c>
      <c r="AH345" s="20">
        <v>112</v>
      </c>
      <c r="AI345" s="20" t="s">
        <v>990</v>
      </c>
      <c r="AJ345" s="117">
        <v>4300000</v>
      </c>
      <c r="AK345" s="20">
        <v>1</v>
      </c>
      <c r="AL345" s="20">
        <f t="shared" si="86"/>
        <v>29</v>
      </c>
      <c r="AM345" s="20">
        <f t="shared" si="87"/>
        <v>124700000</v>
      </c>
      <c r="AN345" s="20"/>
    </row>
    <row r="346" spans="17:46">
      <c r="Q346" s="99" t="s">
        <v>5075</v>
      </c>
      <c r="R346" s="95">
        <v>-21079990</v>
      </c>
      <c r="T346" s="213" t="s">
        <v>5382</v>
      </c>
      <c r="U346" s="213">
        <v>-644</v>
      </c>
      <c r="V346" s="113">
        <v>494.76464499999997</v>
      </c>
      <c r="W346" s="113">
        <f t="shared" si="81"/>
        <v>-318628.43137999997</v>
      </c>
      <c r="X346" s="36" t="s">
        <v>452</v>
      </c>
      <c r="AA346" t="s">
        <v>25</v>
      </c>
      <c r="AH346" s="20">
        <v>113</v>
      </c>
      <c r="AI346" s="20" t="s">
        <v>5147</v>
      </c>
      <c r="AJ346" s="117">
        <v>1600000</v>
      </c>
      <c r="AK346" s="20">
        <v>0</v>
      </c>
      <c r="AL346" s="20">
        <f t="shared" si="86"/>
        <v>28</v>
      </c>
      <c r="AM346" s="20">
        <f t="shared" si="87"/>
        <v>44800000</v>
      </c>
      <c r="AN346" s="20"/>
    </row>
    <row r="347" spans="17:46">
      <c r="Q347" s="99" t="s">
        <v>5076</v>
      </c>
      <c r="R347" s="95">
        <v>-5949277</v>
      </c>
      <c r="T347" s="213" t="s">
        <v>5386</v>
      </c>
      <c r="U347" s="213">
        <v>-112</v>
      </c>
      <c r="V347" s="113">
        <v>485.78</v>
      </c>
      <c r="W347" s="113">
        <f t="shared" si="81"/>
        <v>-54407.360000000001</v>
      </c>
      <c r="X347" s="36" t="s">
        <v>452</v>
      </c>
      <c r="AH347" s="20">
        <v>114</v>
      </c>
      <c r="AI347" s="20" t="s">
        <v>4272</v>
      </c>
      <c r="AJ347" s="117">
        <v>-10000000</v>
      </c>
      <c r="AK347" s="20">
        <v>1</v>
      </c>
      <c r="AL347" s="20">
        <f t="shared" si="86"/>
        <v>28</v>
      </c>
      <c r="AM347" s="20">
        <f t="shared" si="87"/>
        <v>-280000000</v>
      </c>
      <c r="AN347" s="20" t="s">
        <v>5336</v>
      </c>
    </row>
    <row r="348" spans="17:46">
      <c r="Q348" s="99" t="s">
        <v>5083</v>
      </c>
      <c r="R348" s="95">
        <v>-15370656</v>
      </c>
      <c r="T348" s="213" t="s">
        <v>5386</v>
      </c>
      <c r="U348" s="213">
        <v>123</v>
      </c>
      <c r="V348" s="113">
        <v>485.78</v>
      </c>
      <c r="W348" s="113">
        <f t="shared" si="81"/>
        <v>59750.939999999995</v>
      </c>
      <c r="X348" s="36" t="s">
        <v>750</v>
      </c>
      <c r="AH348" s="20">
        <v>115</v>
      </c>
      <c r="AI348" s="20" t="s">
        <v>5335</v>
      </c>
      <c r="AJ348" s="117">
        <v>571000</v>
      </c>
      <c r="AK348" s="20">
        <v>4</v>
      </c>
      <c r="AL348" s="20">
        <f t="shared" si="86"/>
        <v>27</v>
      </c>
      <c r="AM348" s="20">
        <f t="shared" si="87"/>
        <v>15417000</v>
      </c>
      <c r="AN348" s="20"/>
    </row>
    <row r="349" spans="17:46">
      <c r="Q349" s="99" t="s">
        <v>5090</v>
      </c>
      <c r="R349" s="95">
        <v>4960000</v>
      </c>
      <c r="T349" s="213" t="s">
        <v>5386</v>
      </c>
      <c r="U349" s="213">
        <v>-123</v>
      </c>
      <c r="V349" s="113">
        <v>485.78</v>
      </c>
      <c r="W349" s="113">
        <f t="shared" si="81"/>
        <v>-59750.939999999995</v>
      </c>
      <c r="X349" s="36" t="s">
        <v>4436</v>
      </c>
      <c r="AH349" s="20">
        <v>116</v>
      </c>
      <c r="AI349" s="20" t="s">
        <v>5340</v>
      </c>
      <c r="AJ349" s="117">
        <v>200000</v>
      </c>
      <c r="AK349" s="20">
        <v>3</v>
      </c>
      <c r="AL349" s="20">
        <f t="shared" ref="AL349:AL362" si="88">AK349+AL350</f>
        <v>23</v>
      </c>
      <c r="AM349" s="20">
        <f t="shared" ref="AM349:AM362" si="89">AJ349*AL349</f>
        <v>4600000</v>
      </c>
      <c r="AN349" s="20"/>
    </row>
    <row r="350" spans="17:46">
      <c r="Q350" s="99" t="s">
        <v>5090</v>
      </c>
      <c r="R350" s="95">
        <v>10000000</v>
      </c>
      <c r="T350" s="168"/>
      <c r="U350" s="168"/>
      <c r="V350" s="113"/>
      <c r="W350" s="113"/>
      <c r="X350" s="99"/>
      <c r="AH350" s="149">
        <v>117</v>
      </c>
      <c r="AI350" s="149" t="s">
        <v>5352</v>
      </c>
      <c r="AJ350" s="188">
        <v>50000</v>
      </c>
      <c r="AK350" s="149">
        <v>7</v>
      </c>
      <c r="AL350" s="149">
        <f t="shared" si="88"/>
        <v>20</v>
      </c>
      <c r="AM350" s="149">
        <f t="shared" si="89"/>
        <v>1000000</v>
      </c>
      <c r="AN350" s="149"/>
    </row>
    <row r="351" spans="17:46">
      <c r="Q351" s="99" t="s">
        <v>5099</v>
      </c>
      <c r="R351" s="95">
        <v>-40570100</v>
      </c>
      <c r="T351" s="168"/>
      <c r="U351" s="168">
        <f>SUM(U211:U350)</f>
        <v>3653717</v>
      </c>
      <c r="V351" s="99"/>
      <c r="W351" s="99"/>
      <c r="X351" s="99"/>
      <c r="AH351" s="20">
        <v>118</v>
      </c>
      <c r="AI351" s="20" t="s">
        <v>5367</v>
      </c>
      <c r="AJ351" s="117">
        <v>-500000</v>
      </c>
      <c r="AK351" s="20">
        <v>12</v>
      </c>
      <c r="AL351" s="20">
        <f t="shared" si="88"/>
        <v>13</v>
      </c>
      <c r="AM351" s="20">
        <f t="shared" si="89"/>
        <v>-6500000</v>
      </c>
      <c r="AN351" s="20"/>
    </row>
    <row r="352" spans="17:46">
      <c r="Q352" s="99" t="s">
        <v>5115</v>
      </c>
      <c r="R352" s="95">
        <v>1000000</v>
      </c>
      <c r="T352" s="99"/>
      <c r="U352" s="99" t="s">
        <v>6</v>
      </c>
      <c r="V352" s="99"/>
      <c r="W352" s="99"/>
      <c r="X352" s="99"/>
      <c r="AH352" s="149">
        <v>119</v>
      </c>
      <c r="AI352" s="149" t="s">
        <v>989</v>
      </c>
      <c r="AJ352" s="188">
        <v>-50000</v>
      </c>
      <c r="AK352" s="149">
        <v>0</v>
      </c>
      <c r="AL352" s="149">
        <f t="shared" si="88"/>
        <v>1</v>
      </c>
      <c r="AM352" s="149">
        <f t="shared" si="89"/>
        <v>-50000</v>
      </c>
      <c r="AN352" s="149"/>
    </row>
    <row r="353" spans="17:45">
      <c r="Q353" s="99" t="s">
        <v>5116</v>
      </c>
      <c r="R353" s="95">
        <v>400000</v>
      </c>
      <c r="T353" s="200" t="s">
        <v>4472</v>
      </c>
      <c r="AH353" s="20">
        <v>120</v>
      </c>
      <c r="AI353" s="20" t="s">
        <v>989</v>
      </c>
      <c r="AJ353" s="117">
        <v>-50000</v>
      </c>
      <c r="AK353" s="20">
        <v>1</v>
      </c>
      <c r="AL353" s="20">
        <f t="shared" si="88"/>
        <v>1</v>
      </c>
      <c r="AM353" s="20">
        <f t="shared" si="89"/>
        <v>-50000</v>
      </c>
      <c r="AN353" s="20"/>
    </row>
    <row r="354" spans="17:45">
      <c r="Q354" s="99" t="s">
        <v>5123</v>
      </c>
      <c r="R354" s="95">
        <v>120000</v>
      </c>
      <c r="T354" s="199">
        <f>R224/U351</f>
        <v>477.06846608535903</v>
      </c>
      <c r="AH354" s="20"/>
      <c r="AI354" s="20"/>
      <c r="AJ354" s="117"/>
      <c r="AK354" s="20"/>
      <c r="AL354" s="20">
        <f t="shared" si="88"/>
        <v>0</v>
      </c>
      <c r="AM354" s="20">
        <f t="shared" si="89"/>
        <v>0</v>
      </c>
      <c r="AN354" s="20"/>
    </row>
    <row r="355" spans="17:45">
      <c r="Q355" s="99" t="s">
        <v>5143</v>
      </c>
      <c r="R355" s="95">
        <v>500000</v>
      </c>
      <c r="W355" s="114"/>
      <c r="AH355" s="20"/>
      <c r="AI355" s="20"/>
      <c r="AJ355" s="117"/>
      <c r="AK355" s="20"/>
      <c r="AL355" s="20">
        <f t="shared" si="88"/>
        <v>0</v>
      </c>
      <c r="AM355" s="20">
        <f t="shared" si="89"/>
        <v>0</v>
      </c>
      <c r="AN355" s="20"/>
    </row>
    <row r="356" spans="17:45">
      <c r="Q356" s="99" t="s">
        <v>5128</v>
      </c>
      <c r="R356" s="95">
        <v>744000</v>
      </c>
      <c r="U356" s="96" t="s">
        <v>267</v>
      </c>
      <c r="V356" t="s">
        <v>4473</v>
      </c>
      <c r="X356" t="s">
        <v>25</v>
      </c>
      <c r="Y356" t="s">
        <v>25</v>
      </c>
      <c r="AH356" s="20"/>
      <c r="AI356" s="20"/>
      <c r="AJ356" s="117"/>
      <c r="AK356" s="20"/>
      <c r="AL356" s="20">
        <f t="shared" si="88"/>
        <v>0</v>
      </c>
      <c r="AM356" s="20">
        <f t="shared" si="89"/>
        <v>0</v>
      </c>
      <c r="AN356" s="20"/>
    </row>
    <row r="357" spans="17:45">
      <c r="Q357" s="99" t="s">
        <v>5159</v>
      </c>
      <c r="R357" s="95">
        <v>65000</v>
      </c>
      <c r="T357" s="114"/>
      <c r="U357" s="113">
        <v>60000</v>
      </c>
      <c r="V357">
        <f>U357/T354</f>
        <v>125.76811142504765</v>
      </c>
      <c r="X357" t="s">
        <v>25</v>
      </c>
      <c r="Y357" t="s">
        <v>25</v>
      </c>
      <c r="AH357" s="20"/>
      <c r="AI357" s="20"/>
      <c r="AJ357" s="117"/>
      <c r="AK357" s="20"/>
      <c r="AL357" s="20">
        <f t="shared" si="88"/>
        <v>0</v>
      </c>
      <c r="AM357" s="20">
        <f t="shared" si="89"/>
        <v>0</v>
      </c>
      <c r="AN357" s="20"/>
    </row>
    <row r="358" spans="17:45">
      <c r="Q358" s="99" t="s">
        <v>5167</v>
      </c>
      <c r="R358" s="95">
        <v>-14053702</v>
      </c>
      <c r="X358" t="s">
        <v>25</v>
      </c>
      <c r="AH358" s="20"/>
      <c r="AI358" s="20"/>
      <c r="AJ358" s="117"/>
      <c r="AK358" s="20"/>
      <c r="AL358" s="20">
        <f t="shared" si="88"/>
        <v>0</v>
      </c>
      <c r="AM358" s="20">
        <f t="shared" si="89"/>
        <v>0</v>
      </c>
      <c r="AN358" s="20"/>
      <c r="AS358" t="s">
        <v>25</v>
      </c>
    </row>
    <row r="359" spans="17:45" ht="30">
      <c r="Q359" s="99" t="s">
        <v>5129</v>
      </c>
      <c r="R359" s="95">
        <v>3555678</v>
      </c>
      <c r="V359" s="22" t="s">
        <v>5322</v>
      </c>
      <c r="W359" s="223"/>
      <c r="X359" s="96" t="s">
        <v>25</v>
      </c>
      <c r="Y359" t="s">
        <v>25</v>
      </c>
      <c r="AH359" s="20"/>
      <c r="AI359" s="20"/>
      <c r="AJ359" s="117"/>
      <c r="AK359" s="20"/>
      <c r="AL359" s="20">
        <f t="shared" si="88"/>
        <v>0</v>
      </c>
      <c r="AM359" s="20">
        <f t="shared" si="89"/>
        <v>0</v>
      </c>
      <c r="AN359" s="20"/>
    </row>
    <row r="360" spans="17:45">
      <c r="Q360" s="99" t="s">
        <v>5213</v>
      </c>
      <c r="R360" s="95">
        <v>3495</v>
      </c>
      <c r="W360" s="96" t="s">
        <v>25</v>
      </c>
      <c r="X360" t="s">
        <v>25</v>
      </c>
      <c r="Y360" t="s">
        <v>25</v>
      </c>
      <c r="AH360" s="20"/>
      <c r="AI360" s="20"/>
      <c r="AJ360" s="117"/>
      <c r="AK360" s="20"/>
      <c r="AL360" s="20">
        <f t="shared" si="88"/>
        <v>0</v>
      </c>
      <c r="AM360" s="20">
        <f t="shared" si="89"/>
        <v>0</v>
      </c>
      <c r="AN360" s="20"/>
    </row>
    <row r="361" spans="17:45">
      <c r="Q361" s="99" t="s">
        <v>5222</v>
      </c>
      <c r="R361" s="95">
        <v>6000000</v>
      </c>
      <c r="X361" t="s">
        <v>25</v>
      </c>
      <c r="AH361" s="20"/>
      <c r="AI361" s="20"/>
      <c r="AJ361" s="117"/>
      <c r="AK361" s="20"/>
      <c r="AL361" s="20">
        <f t="shared" si="88"/>
        <v>0</v>
      </c>
      <c r="AM361" s="20">
        <f t="shared" si="89"/>
        <v>0</v>
      </c>
      <c r="AN361" s="20"/>
    </row>
    <row r="362" spans="17:45" ht="60">
      <c r="Q362" s="99" t="s">
        <v>5228</v>
      </c>
      <c r="R362" s="95">
        <v>17220</v>
      </c>
      <c r="S362" s="114"/>
      <c r="T362" s="22" t="s">
        <v>4456</v>
      </c>
      <c r="V362" s="223"/>
      <c r="X362" t="s">
        <v>25</v>
      </c>
      <c r="AH362" s="99"/>
      <c r="AI362" s="99"/>
      <c r="AJ362" s="117"/>
      <c r="AK362" s="99"/>
      <c r="AL362" s="20">
        <f t="shared" si="88"/>
        <v>0</v>
      </c>
      <c r="AM362" s="20">
        <f t="shared" si="89"/>
        <v>0</v>
      </c>
      <c r="AN362" s="20"/>
    </row>
    <row r="363" spans="17:45" ht="45">
      <c r="Q363" s="99" t="s">
        <v>5229</v>
      </c>
      <c r="R363" s="95">
        <v>8249</v>
      </c>
      <c r="T363" s="22" t="s">
        <v>4457</v>
      </c>
      <c r="AH363" s="99"/>
      <c r="AI363" s="99"/>
      <c r="AJ363" s="117"/>
      <c r="AK363" s="99"/>
      <c r="AL363" s="20">
        <f t="shared" si="82"/>
        <v>0</v>
      </c>
      <c r="AM363" s="20">
        <f t="shared" si="83"/>
        <v>0</v>
      </c>
      <c r="AN363" s="99"/>
    </row>
    <row r="364" spans="17:45">
      <c r="Q364" s="99" t="s">
        <v>5231</v>
      </c>
      <c r="R364" s="95">
        <v>6937</v>
      </c>
      <c r="AH364" s="99"/>
      <c r="AI364" s="99"/>
      <c r="AJ364" s="95">
        <f>SUM(AJ234:AJ363)</f>
        <v>452087852</v>
      </c>
      <c r="AK364" s="99"/>
      <c r="AL364" s="99"/>
      <c r="AM364" s="99">
        <f>SUM(AM234:AM363)</f>
        <v>102639595731</v>
      </c>
      <c r="AN364" s="95">
        <f>AM364*AN220/31</f>
        <v>55183682.001566999</v>
      </c>
    </row>
    <row r="365" spans="17:45">
      <c r="Q365" s="99" t="s">
        <v>5231</v>
      </c>
      <c r="R365" s="95">
        <v>4046552</v>
      </c>
      <c r="AJ365" t="s">
        <v>4056</v>
      </c>
      <c r="AM365" t="s">
        <v>284</v>
      </c>
      <c r="AN365" t="s">
        <v>941</v>
      </c>
    </row>
    <row r="366" spans="17:45">
      <c r="Q366" s="99" t="s">
        <v>5236</v>
      </c>
      <c r="R366" s="95">
        <v>-3884943</v>
      </c>
      <c r="T366" s="99" t="s">
        <v>4474</v>
      </c>
      <c r="U366" s="99" t="s">
        <v>4446</v>
      </c>
      <c r="V366" s="99" t="s">
        <v>951</v>
      </c>
      <c r="W366" s="74"/>
    </row>
    <row r="367" spans="17:45">
      <c r="Q367" s="99" t="s">
        <v>5247</v>
      </c>
      <c r="R367" s="95">
        <v>6022</v>
      </c>
      <c r="T367" s="95">
        <f>S253+R300+R383</f>
        <v>928559366</v>
      </c>
      <c r="U367" s="95">
        <f>R224</f>
        <v>1743073164.6999998</v>
      </c>
      <c r="V367" s="95">
        <f>U367-T367</f>
        <v>814513798.69999981</v>
      </c>
      <c r="AI367" t="s">
        <v>4058</v>
      </c>
      <c r="AJ367" s="114">
        <f>AJ364+AN364</f>
        <v>507271534.00156701</v>
      </c>
    </row>
    <row r="368" spans="17:45">
      <c r="Q368" s="99" t="s">
        <v>5280</v>
      </c>
      <c r="R368" s="95">
        <v>400000</v>
      </c>
      <c r="AI368" t="s">
        <v>4061</v>
      </c>
      <c r="AJ368" s="114">
        <f>SUM(N20:N31)</f>
        <v>750728883.10000002</v>
      </c>
    </row>
    <row r="369" spans="17:40">
      <c r="Q369" s="99" t="s">
        <v>5286</v>
      </c>
      <c r="R369" s="95">
        <v>92847</v>
      </c>
      <c r="AI369" t="s">
        <v>4133</v>
      </c>
      <c r="AJ369" s="114">
        <f>AJ368-AJ364</f>
        <v>298641031.10000002</v>
      </c>
    </row>
    <row r="370" spans="17:40">
      <c r="Q370" s="99" t="s">
        <v>5286</v>
      </c>
      <c r="R370" s="95">
        <v>-100000</v>
      </c>
      <c r="AI370" t="s">
        <v>941</v>
      </c>
      <c r="AJ370" s="114">
        <f>AN364</f>
        <v>55183682.001566999</v>
      </c>
    </row>
    <row r="371" spans="17:40">
      <c r="Q371" s="99" t="s">
        <v>5291</v>
      </c>
      <c r="R371" s="95">
        <v>10000000</v>
      </c>
      <c r="AI371" t="s">
        <v>4062</v>
      </c>
      <c r="AJ371" s="114">
        <f>AJ369-AJ370</f>
        <v>243457349.09843302</v>
      </c>
      <c r="AM371" t="s">
        <v>25</v>
      </c>
      <c r="AN371" t="s">
        <v>25</v>
      </c>
    </row>
    <row r="372" spans="17:40">
      <c r="Q372" s="99" t="s">
        <v>5300</v>
      </c>
      <c r="R372" s="95">
        <v>-400000</v>
      </c>
      <c r="T372" t="s">
        <v>25</v>
      </c>
      <c r="AN372" t="s">
        <v>25</v>
      </c>
    </row>
    <row r="373" spans="17:40">
      <c r="Q373" s="99" t="s">
        <v>5309</v>
      </c>
      <c r="R373" s="95">
        <v>5649</v>
      </c>
      <c r="T373" t="s">
        <v>25</v>
      </c>
    </row>
    <row r="374" spans="17:40">
      <c r="Q374" s="99" t="s">
        <v>5311</v>
      </c>
      <c r="R374" s="95">
        <v>460000</v>
      </c>
    </row>
    <row r="375" spans="17:40">
      <c r="Q375" s="99" t="s">
        <v>5312</v>
      </c>
      <c r="R375" s="95">
        <v>1300000</v>
      </c>
      <c r="T375" t="s">
        <v>25</v>
      </c>
      <c r="AN375" t="s">
        <v>25</v>
      </c>
    </row>
    <row r="376" spans="17:40">
      <c r="Q376" s="99" t="s">
        <v>5312</v>
      </c>
      <c r="R376" s="95">
        <v>7300000</v>
      </c>
      <c r="T376" t="s">
        <v>25</v>
      </c>
      <c r="AN376" t="s">
        <v>25</v>
      </c>
    </row>
    <row r="377" spans="17:40">
      <c r="Q377" s="99" t="s">
        <v>990</v>
      </c>
      <c r="R377" s="95">
        <v>21203</v>
      </c>
    </row>
    <row r="378" spans="17:40">
      <c r="Q378" s="99" t="s">
        <v>4272</v>
      </c>
      <c r="R378" s="95">
        <v>34550</v>
      </c>
    </row>
    <row r="379" spans="17:40">
      <c r="Q379" s="99" t="s">
        <v>5310</v>
      </c>
      <c r="R379" s="95">
        <v>-2134406</v>
      </c>
      <c r="T379" t="s">
        <v>25</v>
      </c>
    </row>
    <row r="380" spans="17:40">
      <c r="Q380" s="99" t="s">
        <v>5382</v>
      </c>
      <c r="R380" s="95">
        <v>-618906</v>
      </c>
      <c r="T380" t="s">
        <v>25</v>
      </c>
    </row>
    <row r="381" spans="17:40">
      <c r="Q381" s="99" t="s">
        <v>5386</v>
      </c>
      <c r="R381" s="95">
        <v>-54615</v>
      </c>
      <c r="W381" s="96" t="s">
        <v>25</v>
      </c>
    </row>
    <row r="382" spans="17:40">
      <c r="Q382" s="99"/>
      <c r="R382" s="95"/>
      <c r="T382" t="s">
        <v>25</v>
      </c>
    </row>
    <row r="383" spans="17:40">
      <c r="Q383" s="99"/>
      <c r="R383" s="95">
        <f>SUM(R305:R382)</f>
        <v>399226986</v>
      </c>
      <c r="T383" t="s">
        <v>25</v>
      </c>
    </row>
    <row r="384" spans="17:40">
      <c r="Q384" s="99"/>
      <c r="R384" s="99" t="s">
        <v>6</v>
      </c>
      <c r="T384" t="s">
        <v>25</v>
      </c>
    </row>
    <row r="385" spans="18:21">
      <c r="T385" t="s">
        <v>25</v>
      </c>
      <c r="U385" s="96" t="s">
        <v>25</v>
      </c>
    </row>
    <row r="386" spans="18:21">
      <c r="T386" t="s">
        <v>25</v>
      </c>
    </row>
    <row r="387" spans="18:21">
      <c r="S387" t="s">
        <v>25</v>
      </c>
      <c r="T387" t="s">
        <v>25</v>
      </c>
    </row>
    <row r="388" spans="18:21">
      <c r="T388" t="s">
        <v>25</v>
      </c>
    </row>
    <row r="389" spans="18:21">
      <c r="T389" t="s">
        <v>25</v>
      </c>
    </row>
    <row r="390" spans="18:21">
      <c r="R390"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S18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2019-11-16T09:11:49Z</dcterms:modified>
</cp:coreProperties>
</file>