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Q121" i="18" l="1"/>
  <c r="R215" i="18"/>
  <c r="R195" i="18"/>
  <c r="P129" i="18"/>
  <c r="W176" i="18"/>
  <c r="W175" i="18"/>
  <c r="AJ201" i="18"/>
  <c r="AJ148" i="18"/>
  <c r="L37" i="52"/>
  <c r="N24" i="52"/>
  <c r="M38" i="52"/>
  <c r="M37" i="52"/>
  <c r="N26" i="52"/>
  <c r="N25" i="52"/>
  <c r="Y185" i="18" l="1"/>
  <c r="R171" i="18"/>
  <c r="T195" i="18"/>
  <c r="N67" i="18"/>
  <c r="N38" i="18"/>
  <c r="L36" i="18"/>
  <c r="P30" i="18"/>
  <c r="N30" i="18" s="1"/>
  <c r="P24" i="18"/>
  <c r="N24" i="18" s="1"/>
  <c r="N57" i="18"/>
  <c r="K113" i="18"/>
  <c r="L108" i="18"/>
  <c r="K114" i="18"/>
  <c r="M114" i="18" s="1"/>
  <c r="Z26" i="52"/>
  <c r="AD26" i="52"/>
  <c r="AE26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AL200" i="18"/>
  <c r="AM200" i="18" s="1"/>
  <c r="I325" i="20" l="1"/>
  <c r="G324" i="20"/>
  <c r="J325" i="20"/>
  <c r="AL199" i="18"/>
  <c r="W174" i="18"/>
  <c r="W173" i="18"/>
  <c r="X187" i="18"/>
  <c r="Q31" i="52"/>
  <c r="N23" i="52"/>
  <c r="N22" i="52"/>
  <c r="P31" i="52"/>
  <c r="Z25" i="52"/>
  <c r="AD25" i="52"/>
  <c r="AE25" i="52"/>
  <c r="G48" i="52"/>
  <c r="K324" i="20" l="1"/>
  <c r="J324" i="20"/>
  <c r="G323" i="20"/>
  <c r="I324" i="20"/>
  <c r="AM199" i="18"/>
  <c r="AL198" i="18"/>
  <c r="W172" i="18"/>
  <c r="W171" i="18"/>
  <c r="M31" i="52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M108" i="18" s="1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K320" i="20" l="1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4" i="52"/>
  <c r="Z24" i="52"/>
  <c r="AE24" i="52"/>
  <c r="Z23" i="52"/>
  <c r="AD23" i="52"/>
  <c r="AE23" i="52"/>
  <c r="N54" i="18"/>
  <c r="I319" i="20" l="1"/>
  <c r="K319" i="20"/>
  <c r="J319" i="20"/>
  <c r="G318" i="20"/>
  <c r="W170" i="18"/>
  <c r="W169" i="18"/>
  <c r="J318" i="20" l="1"/>
  <c r="G317" i="20"/>
  <c r="I318" i="20"/>
  <c r="K318" i="20"/>
  <c r="AD22" i="52"/>
  <c r="AC22" i="52"/>
  <c r="AE22" i="52"/>
  <c r="AD21" i="52"/>
  <c r="AC21" i="52"/>
  <c r="AE21" i="52"/>
  <c r="K317" i="20" l="1"/>
  <c r="J317" i="20"/>
  <c r="G316" i="20"/>
  <c r="I317" i="20"/>
  <c r="G111" i="18"/>
  <c r="F111" i="18" s="1"/>
  <c r="G110" i="18"/>
  <c r="F110" i="18" s="1"/>
  <c r="G109" i="18"/>
  <c r="F109" i="18" s="1"/>
  <c r="G108" i="18"/>
  <c r="F108" i="18" s="1"/>
  <c r="G107" i="18"/>
  <c r="F107" i="18" s="1"/>
  <c r="G106" i="18"/>
  <c r="F106" i="18" s="1"/>
  <c r="L106" i="18"/>
  <c r="P29" i="18"/>
  <c r="N29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20" i="52"/>
  <c r="AD19" i="52"/>
  <c r="Z20" i="52"/>
  <c r="Z19" i="52"/>
  <c r="AE20" i="52"/>
  <c r="AE19" i="52"/>
  <c r="K313" i="20" l="1"/>
  <c r="J313" i="20"/>
  <c r="G312" i="20"/>
  <c r="I313" i="20"/>
  <c r="D304" i="20"/>
  <c r="W168" i="18"/>
  <c r="W167" i="18"/>
  <c r="AD18" i="52"/>
  <c r="Z18" i="52"/>
  <c r="AE18" i="52"/>
  <c r="AD17" i="52"/>
  <c r="Z17" i="52"/>
  <c r="AE17" i="52"/>
  <c r="N17" i="52"/>
  <c r="N16" i="52"/>
  <c r="K312" i="20" l="1"/>
  <c r="J312" i="20"/>
  <c r="G311" i="20"/>
  <c r="I312" i="20"/>
  <c r="L107" i="18"/>
  <c r="L109" i="18"/>
  <c r="L110" i="18"/>
  <c r="L111" i="18"/>
  <c r="L112" i="18"/>
  <c r="I311" i="20" l="1"/>
  <c r="K311" i="20"/>
  <c r="J311" i="20"/>
  <c r="G310" i="20"/>
  <c r="W166" i="18"/>
  <c r="W165" i="18"/>
  <c r="D303" i="20"/>
  <c r="D302" i="20"/>
  <c r="W164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6" i="52"/>
  <c r="AD16" i="52"/>
  <c r="AE16" i="52"/>
  <c r="P31" i="18"/>
  <c r="P28" i="18"/>
  <c r="P25" i="18"/>
  <c r="P22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2" i="18" l="1"/>
  <c r="U179" i="18"/>
  <c r="N52" i="18"/>
  <c r="N49" i="18"/>
  <c r="M111" i="18" l="1"/>
  <c r="N111" i="18" s="1"/>
  <c r="AD15" i="52"/>
  <c r="AE15" i="52"/>
  <c r="AD14" i="52"/>
  <c r="AE14" i="52"/>
  <c r="Z15" i="52"/>
  <c r="D296" i="20"/>
  <c r="D295" i="20"/>
  <c r="W161" i="18" l="1"/>
  <c r="W160" i="18"/>
  <c r="L11" i="52"/>
  <c r="L10" i="52"/>
  <c r="AL193" i="18"/>
  <c r="AL192" i="18" s="1"/>
  <c r="AL191" i="18" s="1"/>
  <c r="C2" i="55"/>
  <c r="C32" i="55" s="1"/>
  <c r="B2" i="55"/>
  <c r="D60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9" i="52"/>
  <c r="AD10" i="52"/>
  <c r="AD11" i="52"/>
  <c r="AD12" i="52"/>
  <c r="AD13" i="52"/>
  <c r="AD8" i="52"/>
  <c r="Z7" i="52"/>
  <c r="Z8" i="52"/>
  <c r="Z9" i="52"/>
  <c r="Z10" i="52"/>
  <c r="Z11" i="52"/>
  <c r="Z12" i="52"/>
  <c r="Z13" i="52"/>
  <c r="Z14" i="52"/>
  <c r="Z6" i="52"/>
  <c r="AE13" i="52"/>
  <c r="AE12" i="52"/>
  <c r="AE11" i="52"/>
  <c r="AE10" i="52"/>
  <c r="AE9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AM194" i="18"/>
  <c r="AM193" i="18"/>
  <c r="AM192" i="18"/>
  <c r="H33" i="55"/>
  <c r="G2" i="55"/>
  <c r="G33" i="55" s="1"/>
  <c r="D2" i="55"/>
  <c r="W159" i="18"/>
  <c r="W158" i="18"/>
  <c r="H38" i="55" l="1"/>
  <c r="I2" i="55"/>
  <c r="I33" i="55" s="1"/>
  <c r="I38" i="55" s="1"/>
  <c r="D32" i="55"/>
  <c r="D293" i="20"/>
  <c r="W157" i="18" l="1"/>
  <c r="N50" i="18"/>
  <c r="M110" i="18" s="1"/>
  <c r="N55" i="18"/>
  <c r="N51" i="18"/>
  <c r="N110" i="18" l="1"/>
  <c r="D292" i="20"/>
  <c r="C8" i="36"/>
  <c r="W156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55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3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6" i="18"/>
  <c r="D281" i="20" l="1"/>
  <c r="D280" i="20" l="1"/>
  <c r="AD5" i="52" l="1"/>
  <c r="B38" i="52"/>
  <c r="D279" i="20"/>
  <c r="W131" i="18" l="1"/>
  <c r="W154" i="18"/>
  <c r="D278" i="20"/>
  <c r="W133" i="18" l="1"/>
  <c r="W132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6" i="18"/>
  <c r="AR14" i="18"/>
  <c r="S125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H270" i="20" l="1"/>
  <c r="H271" i="20"/>
  <c r="H272" i="20"/>
  <c r="D269" i="20"/>
  <c r="H269" i="20"/>
  <c r="AL135" i="18" l="1"/>
  <c r="S6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3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N31" i="52" l="1"/>
  <c r="M33" i="52" s="1"/>
  <c r="AL129" i="18"/>
  <c r="AM130" i="18"/>
  <c r="O3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3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2" i="18"/>
  <c r="AM124" i="18" l="1"/>
  <c r="AL123" i="18"/>
  <c r="AM123" i="18" l="1"/>
  <c r="AL122" i="18"/>
  <c r="AL121" i="18" l="1"/>
  <c r="AM122" i="18"/>
  <c r="W146" i="18"/>
  <c r="W147" i="18"/>
  <c r="W148" i="18"/>
  <c r="W149" i="18"/>
  <c r="W150" i="18"/>
  <c r="W151" i="18"/>
  <c r="W163" i="18"/>
  <c r="W145" i="18"/>
  <c r="AM121" i="18" l="1"/>
  <c r="AL120" i="18"/>
  <c r="N58" i="18"/>
  <c r="AM120" i="18" l="1"/>
  <c r="AL119" i="18"/>
  <c r="AM119" i="18" l="1"/>
  <c r="AL118" i="18"/>
  <c r="T129" i="18"/>
  <c r="S42" i="18"/>
  <c r="S43" i="18" s="1"/>
  <c r="S44" i="18" s="1"/>
  <c r="R150" i="18"/>
  <c r="R149" i="18"/>
  <c r="R148" i="18"/>
  <c r="D57" i="51"/>
  <c r="AL117" i="18" l="1"/>
  <c r="AM118" i="18"/>
  <c r="S45" i="18"/>
  <c r="S46" i="18" s="1"/>
  <c r="AM117" i="18" l="1"/>
  <c r="AL116" i="18"/>
  <c r="S47" i="18"/>
  <c r="S48" i="18" s="1"/>
  <c r="S49" i="18" s="1"/>
  <c r="S50" i="18" s="1"/>
  <c r="N31" i="18"/>
  <c r="Q52" i="18" l="1"/>
  <c r="R147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9" i="18" s="1"/>
  <c r="AM112" i="18" l="1"/>
  <c r="AL111" i="18"/>
  <c r="N109" i="18"/>
  <c r="D108" i="50"/>
  <c r="AL110" i="18" l="1"/>
  <c r="AM111" i="18"/>
  <c r="N47" i="18"/>
  <c r="AL109" i="18" l="1"/>
  <c r="AM110" i="18"/>
  <c r="N108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M112" i="18" s="1"/>
  <c r="N53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6" i="18"/>
  <c r="S27" i="18" s="1"/>
  <c r="S28" i="18" s="1"/>
  <c r="S29" i="18" s="1"/>
  <c r="N83" i="18"/>
  <c r="AL101" i="18" l="1"/>
  <c r="AM102" i="18"/>
  <c r="AL185" i="18"/>
  <c r="AM186" i="18"/>
  <c r="S30" i="18"/>
  <c r="S31" i="18" s="1"/>
  <c r="S32" i="18" s="1"/>
  <c r="S33" i="18" s="1"/>
  <c r="S34" i="18" s="1"/>
  <c r="S35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AM185" i="18"/>
  <c r="AL184" i="18"/>
  <c r="D73" i="48"/>
  <c r="N25" i="18"/>
  <c r="AL99" i="18" l="1"/>
  <c r="AM100" i="18"/>
  <c r="M107" i="18"/>
  <c r="N107" i="18" s="1"/>
  <c r="AL183" i="18"/>
  <c r="AM184" i="18"/>
  <c r="AM99" i="18" l="1"/>
  <c r="AL98" i="18"/>
  <c r="AL182" i="18"/>
  <c r="AM183" i="18"/>
  <c r="P63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37" i="18" l="1"/>
  <c r="R146" i="18"/>
  <c r="AM94" i="18"/>
  <c r="AL93" i="18"/>
  <c r="AJ205" i="18"/>
  <c r="AJ206" i="18" s="1"/>
  <c r="AL177" i="18"/>
  <c r="AM178" i="18"/>
  <c r="AL92" i="18" l="1"/>
  <c r="AM93" i="18"/>
  <c r="AL176" i="18"/>
  <c r="AM177" i="18"/>
  <c r="S62" i="18"/>
  <c r="S6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4" i="18"/>
  <c r="AL85" i="18" l="1"/>
  <c r="AM86" i="18"/>
  <c r="S65" i="18"/>
  <c r="S66" i="18" s="1"/>
  <c r="S67" i="18" s="1"/>
  <c r="S68" i="18" s="1"/>
  <c r="S69" i="18" s="1"/>
  <c r="S7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1" i="18"/>
  <c r="S7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S73" i="18"/>
  <c r="S74" i="18" s="1"/>
  <c r="S75" i="18" s="1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1" i="18"/>
  <c r="AN201" i="18" s="1"/>
  <c r="AJ204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6" i="18" l="1"/>
  <c r="AJ207" i="18"/>
  <c r="AJ208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77" i="18" l="1"/>
  <c r="S78" i="18" s="1"/>
  <c r="AL77" i="18"/>
  <c r="AM78" i="18"/>
  <c r="N63" i="18"/>
  <c r="G307" i="20" l="1"/>
  <c r="K308" i="20"/>
  <c r="J308" i="20"/>
  <c r="I308" i="20"/>
  <c r="S79" i="18"/>
  <c r="S80" i="18" s="1"/>
  <c r="S81" i="18" s="1"/>
  <c r="S82" i="18" s="1"/>
  <c r="S83" i="18" s="1"/>
  <c r="AL76" i="18"/>
  <c r="AM77" i="18"/>
  <c r="G306" i="20" l="1"/>
  <c r="J307" i="20"/>
  <c r="I307" i="20"/>
  <c r="K307" i="20"/>
  <c r="S84" i="18"/>
  <c r="S85" i="18" s="1"/>
  <c r="AL75" i="18"/>
  <c r="AM76" i="18"/>
  <c r="N56" i="18"/>
  <c r="R145" i="18" l="1"/>
  <c r="R155" i="18" s="1"/>
  <c r="U195" i="18" s="1"/>
  <c r="S86" i="18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G305" i="20"/>
  <c r="I306" i="20"/>
  <c r="K306" i="20"/>
  <c r="J306" i="20"/>
  <c r="AJ154" i="18"/>
  <c r="AJ155" i="18" s="1"/>
  <c r="M106" i="18"/>
  <c r="N106" i="18" s="1"/>
  <c r="N114" i="18" s="1"/>
  <c r="AL74" i="18"/>
  <c r="AM75" i="18"/>
  <c r="G304" i="20" l="1"/>
  <c r="I305" i="20"/>
  <c r="K305" i="20"/>
  <c r="J305" i="20"/>
  <c r="S104" i="18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AL73" i="18"/>
  <c r="AM74" i="18"/>
  <c r="N89" i="18"/>
  <c r="V35" i="18" l="1"/>
  <c r="X35" i="18" s="1"/>
  <c r="V50" i="18"/>
  <c r="S116" i="18"/>
  <c r="V115" i="18"/>
  <c r="G303" i="20"/>
  <c r="K304" i="20"/>
  <c r="I304" i="20"/>
  <c r="J304" i="20"/>
  <c r="V113" i="18"/>
  <c r="W113" i="18" s="1"/>
  <c r="V114" i="18"/>
  <c r="T182" i="18"/>
  <c r="V185" i="18" s="1"/>
  <c r="V195" i="18"/>
  <c r="V110" i="18"/>
  <c r="W110" i="18" s="1"/>
  <c r="V112" i="18"/>
  <c r="V111" i="18"/>
  <c r="V109" i="18"/>
  <c r="X109" i="18" s="1"/>
  <c r="V34" i="18"/>
  <c r="W34" i="18" s="1"/>
  <c r="V49" i="18"/>
  <c r="V107" i="18"/>
  <c r="V108" i="18"/>
  <c r="V105" i="18"/>
  <c r="V103" i="18"/>
  <c r="V102" i="18"/>
  <c r="V101" i="18"/>
  <c r="V106" i="18"/>
  <c r="V100" i="18"/>
  <c r="V104" i="18"/>
  <c r="V97" i="18"/>
  <c r="W97" i="18" s="1"/>
  <c r="V99" i="18"/>
  <c r="V98" i="18"/>
  <c r="V96" i="18"/>
  <c r="V95" i="18"/>
  <c r="V33" i="18"/>
  <c r="W33" i="18" s="1"/>
  <c r="V48" i="18"/>
  <c r="V93" i="18"/>
  <c r="V94" i="18"/>
  <c r="V91" i="18"/>
  <c r="V90" i="18"/>
  <c r="V89" i="18"/>
  <c r="V88" i="18"/>
  <c r="V85" i="18"/>
  <c r="V87" i="18"/>
  <c r="V86" i="18"/>
  <c r="V92" i="18"/>
  <c r="V120" i="18"/>
  <c r="V83" i="18"/>
  <c r="W83" i="18" s="1"/>
  <c r="V84" i="18"/>
  <c r="V32" i="18"/>
  <c r="W32" i="18" s="1"/>
  <c r="V47" i="18"/>
  <c r="V81" i="18"/>
  <c r="W81" i="18" s="1"/>
  <c r="V82" i="18"/>
  <c r="V78" i="18"/>
  <c r="W78" i="18" s="1"/>
  <c r="V80" i="18"/>
  <c r="V79" i="18"/>
  <c r="V77" i="18"/>
  <c r="W77" i="18" s="1"/>
  <c r="V75" i="18"/>
  <c r="V76" i="18"/>
  <c r="V74" i="18"/>
  <c r="V73" i="18"/>
  <c r="V31" i="18"/>
  <c r="V30" i="18"/>
  <c r="W30" i="18" s="1"/>
  <c r="V46" i="18"/>
  <c r="V29" i="18"/>
  <c r="X29" i="18" s="1"/>
  <c r="V45" i="18"/>
  <c r="V51" i="18"/>
  <c r="V44" i="18"/>
  <c r="V72" i="18"/>
  <c r="V43" i="18"/>
  <c r="V71" i="18"/>
  <c r="V28" i="18"/>
  <c r="V70" i="18"/>
  <c r="V27" i="18"/>
  <c r="V25" i="18"/>
  <c r="V26" i="18"/>
  <c r="W26" i="18" s="1"/>
  <c r="V69" i="18"/>
  <c r="V68" i="18"/>
  <c r="V67" i="18"/>
  <c r="V24" i="18"/>
  <c r="V66" i="18"/>
  <c r="V65" i="18"/>
  <c r="V63" i="18"/>
  <c r="V64" i="18"/>
  <c r="V21" i="18"/>
  <c r="V23" i="18"/>
  <c r="V60" i="18"/>
  <c r="V20" i="18"/>
  <c r="V22" i="18"/>
  <c r="V61" i="18"/>
  <c r="V62" i="18"/>
  <c r="AL72" i="18"/>
  <c r="AM73" i="18"/>
  <c r="V116" i="18" l="1"/>
  <c r="W116" i="18" s="1"/>
  <c r="S117" i="18"/>
  <c r="V117" i="18" s="1"/>
  <c r="S133" i="18"/>
  <c r="N66" i="18" s="1"/>
  <c r="W35" i="18"/>
  <c r="W50" i="18"/>
  <c r="X50" i="18"/>
  <c r="W115" i="18"/>
  <c r="X115" i="18"/>
  <c r="X113" i="18"/>
  <c r="G302" i="20"/>
  <c r="K303" i="20"/>
  <c r="I303" i="20"/>
  <c r="J303" i="20"/>
  <c r="W114" i="18"/>
  <c r="X114" i="18"/>
  <c r="X110" i="18"/>
  <c r="X112" i="18"/>
  <c r="W112" i="18"/>
  <c r="W111" i="18"/>
  <c r="X111" i="18"/>
  <c r="W109" i="18"/>
  <c r="X34" i="18"/>
  <c r="W49" i="18"/>
  <c r="X49" i="18"/>
  <c r="X97" i="18"/>
  <c r="W108" i="18"/>
  <c r="X108" i="18"/>
  <c r="W107" i="18"/>
  <c r="X107" i="18"/>
  <c r="W100" i="18"/>
  <c r="X100" i="18"/>
  <c r="W102" i="18"/>
  <c r="X102" i="18"/>
  <c r="X104" i="18"/>
  <c r="W104" i="18"/>
  <c r="W103" i="18"/>
  <c r="X103" i="18"/>
  <c r="W101" i="18"/>
  <c r="X101" i="18"/>
  <c r="W106" i="18"/>
  <c r="X106" i="18"/>
  <c r="W105" i="18"/>
  <c r="X105" i="18"/>
  <c r="W98" i="18"/>
  <c r="X98" i="18"/>
  <c r="W99" i="18"/>
  <c r="X99" i="18"/>
  <c r="X33" i="18"/>
  <c r="W95" i="18"/>
  <c r="X95" i="18"/>
  <c r="W96" i="18"/>
  <c r="X96" i="18"/>
  <c r="W48" i="18"/>
  <c r="X48" i="18"/>
  <c r="W94" i="18"/>
  <c r="X94" i="18"/>
  <c r="W93" i="18"/>
  <c r="X93" i="18"/>
  <c r="X90" i="18"/>
  <c r="W90" i="18"/>
  <c r="W91" i="18"/>
  <c r="X91" i="18"/>
  <c r="W88" i="18"/>
  <c r="X88" i="18"/>
  <c r="W89" i="18"/>
  <c r="X89" i="18"/>
  <c r="W120" i="18"/>
  <c r="X120" i="18"/>
  <c r="W87" i="18"/>
  <c r="X87" i="18"/>
  <c r="X92" i="18"/>
  <c r="W92" i="18"/>
  <c r="W86" i="18"/>
  <c r="X86" i="18"/>
  <c r="W85" i="18"/>
  <c r="X85" i="18"/>
  <c r="X83" i="18"/>
  <c r="W84" i="18"/>
  <c r="X84" i="18"/>
  <c r="X32" i="18"/>
  <c r="W47" i="18"/>
  <c r="X47" i="18"/>
  <c r="X81" i="18"/>
  <c r="W82" i="18"/>
  <c r="X82" i="18"/>
  <c r="X78" i="18"/>
  <c r="W79" i="18"/>
  <c r="X79" i="18"/>
  <c r="W80" i="18"/>
  <c r="X80" i="18"/>
  <c r="X77" i="18"/>
  <c r="W76" i="18"/>
  <c r="X76" i="18"/>
  <c r="W75" i="18"/>
  <c r="X75" i="18"/>
  <c r="W74" i="18"/>
  <c r="X74" i="18"/>
  <c r="W73" i="18"/>
  <c r="X73" i="18"/>
  <c r="W31" i="18"/>
  <c r="X31" i="18"/>
  <c r="X30" i="18"/>
  <c r="W46" i="18"/>
  <c r="X46" i="18"/>
  <c r="W29" i="18"/>
  <c r="W45" i="18"/>
  <c r="X45" i="18"/>
  <c r="W44" i="18"/>
  <c r="X44" i="18"/>
  <c r="W51" i="18"/>
  <c r="X51" i="18"/>
  <c r="S132" i="18"/>
  <c r="N34" i="18" s="1"/>
  <c r="S131" i="18"/>
  <c r="U131" i="18" s="1"/>
  <c r="W72" i="18"/>
  <c r="X72" i="18"/>
  <c r="X43" i="18"/>
  <c r="W43" i="18"/>
  <c r="W22" i="18"/>
  <c r="X22" i="18"/>
  <c r="W21" i="18"/>
  <c r="X21" i="18"/>
  <c r="W65" i="18"/>
  <c r="X65" i="18"/>
  <c r="W67" i="18"/>
  <c r="X67" i="18"/>
  <c r="W70" i="18"/>
  <c r="X70" i="18"/>
  <c r="W62" i="18"/>
  <c r="X62" i="18"/>
  <c r="W68" i="18"/>
  <c r="X68" i="18"/>
  <c r="X26" i="18"/>
  <c r="W28" i="18"/>
  <c r="X28" i="18"/>
  <c r="W20" i="18"/>
  <c r="X20" i="18"/>
  <c r="W64" i="18"/>
  <c r="X64" i="18"/>
  <c r="W25" i="18"/>
  <c r="X25" i="18"/>
  <c r="X71" i="18"/>
  <c r="W71" i="18"/>
  <c r="W61" i="18"/>
  <c r="X61" i="18"/>
  <c r="W60" i="18"/>
  <c r="X60" i="18"/>
  <c r="W66" i="18"/>
  <c r="X66" i="18"/>
  <c r="W23" i="18"/>
  <c r="X23" i="18"/>
  <c r="W63" i="18"/>
  <c r="X63" i="18"/>
  <c r="X24" i="18"/>
  <c r="W24" i="18"/>
  <c r="W69" i="18"/>
  <c r="X69" i="18"/>
  <c r="W27" i="18"/>
  <c r="X27" i="18"/>
  <c r="AL71" i="18"/>
  <c r="AM72" i="18"/>
  <c r="X116" i="18" l="1"/>
  <c r="X117" i="18"/>
  <c r="W117" i="18"/>
  <c r="L21" i="18"/>
  <c r="G301" i="20"/>
  <c r="I302" i="20"/>
  <c r="K302" i="20"/>
  <c r="J302" i="20"/>
  <c r="U132" i="18"/>
  <c r="V132" i="18" s="1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G298" i="20" l="1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G297" i="20" l="1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97" i="20" l="1"/>
  <c r="K297" i="20"/>
  <c r="J297" i="20"/>
  <c r="G296" i="20"/>
  <c r="AL65" i="18"/>
  <c r="AM66" i="18"/>
  <c r="E45" i="14"/>
  <c r="G295" i="20" l="1"/>
  <c r="K296" i="20"/>
  <c r="I296" i="20"/>
  <c r="J296" i="20"/>
  <c r="AL64" i="18"/>
  <c r="AM65" i="18"/>
  <c r="E44" i="14"/>
  <c r="G294" i="20" l="1"/>
  <c r="K295" i="20"/>
  <c r="J295" i="20"/>
  <c r="I295" i="20"/>
  <c r="AM64" i="18"/>
  <c r="AL63" i="18"/>
  <c r="E43" i="14"/>
  <c r="G43" i="14" s="1"/>
  <c r="G293" i="20" l="1"/>
  <c r="I294" i="20"/>
  <c r="J294" i="20"/>
  <c r="K294" i="20"/>
  <c r="AL62" i="18"/>
  <c r="AM63" i="18"/>
  <c r="E42" i="14"/>
  <c r="G42" i="14" s="1"/>
  <c r="G292" i="20" l="1"/>
  <c r="K293" i="20"/>
  <c r="J293" i="20"/>
  <c r="I293" i="20"/>
  <c r="AL61" i="18"/>
  <c r="AM62" i="18"/>
  <c r="E41" i="14"/>
  <c r="G41" i="14" s="1"/>
  <c r="J292" i="20" l="1"/>
  <c r="I292" i="20"/>
  <c r="G291" i="20"/>
  <c r="K292" i="20"/>
  <c r="AM61" i="18"/>
  <c r="AL60" i="18"/>
  <c r="E40" i="14"/>
  <c r="G40" i="14" s="1"/>
  <c r="G290" i="20" l="1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242" i="20" l="1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9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9" i="18" l="1"/>
  <c r="F24" i="18" s="1"/>
  <c r="G113" i="20"/>
  <c r="J114" i="20"/>
  <c r="I114" i="20"/>
  <c r="K114" i="20"/>
  <c r="L70" i="18"/>
  <c r="E33" i="13"/>
  <c r="G34" i="13"/>
  <c r="F108" i="15"/>
  <c r="C20" i="18"/>
  <c r="G20" i="14"/>
  <c r="G21" i="14"/>
  <c r="G112" i="20" l="1"/>
  <c r="K113" i="20"/>
  <c r="J113" i="20"/>
  <c r="I113" i="20"/>
  <c r="L7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1" i="18"/>
  <c r="U133" i="18"/>
  <c r="V133" i="18" s="1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<sst xmlns="http://schemas.openxmlformats.org/spreadsheetml/2006/main" count="10710" uniqueCount="4804">
  <si>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</si>
  <si>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</si>
  <si>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</si>
  <si>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</si>
  <si>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</si>
  <si>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</si>
  <si>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</si>
  <si>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</si>
  <si>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</si>
  <si>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</si>
  <si>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</si>
  <si>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</si>
  <si>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</si>
  <si>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</si>
  <si>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</si>
  <si>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</si>
  <si>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</si>
  <si>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</si>
  <si>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</si>
  <si>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</si>
  <si>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</si>
  <si>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</si>
  <si>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</si>
  <si>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</si>
  <si>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</si>
  <si>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</si>
  <si>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</si>
  <si>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</si>
  <si>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</si>
  <si>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</si>
  <si>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</si>
  <si>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</si>
  <si>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</si>
  <si>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</si>
  <si>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</si>
  <si>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</si>
  <si>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</si>
  <si>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</si>
  <si>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</si>
  <si>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</si>
  <si>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</si>
  <si>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</si>
  <si>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</si>
  <si>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</si>
  <si>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</si>
  <si>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</si>
  <si>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</si>
  <si>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</si>
  <si>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</si>
  <si>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</si>
  <si>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</si>
  <si>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</si>
  <si>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</si>
  <si>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</si>
  <si>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</si>
  <si>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</si>
  <si>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</si>
  <si>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</si>
  <si>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</si>
  <si>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</si>
  <si>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</si>
  <si>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</si>
  <si>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</si>
  <si>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</si>
  <si>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</si>
  <si>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</si>
  <si>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</si>
  <si>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</si>
  <si>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</si>
  <si>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</si>
  <si>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</si>
  <si>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</si>
  <si>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</si>
  <si>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</si>
  <si>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</si>
  <si>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</si>
  <si>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</si>
  <si>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</si>
  <si>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</si>
  <si>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</si>
  <si>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</si>
  <si>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</si>
  <si>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</si>
  <si>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</si>
  <si>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</si>
  <si>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</si>
  <si>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</si>
  <si>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</si>
  <si>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</si>
  <si>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</si>
  <si>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</si>
  <si>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</si>
  <si>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</si>
  <si>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</si>
  <si>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</si>
  <si>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</si>
  <si>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</si>
  <si>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</si>
  <si>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</si>
  <si>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</si>
  <si>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</si>
  <si>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</si>
  <si>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</si>
  <si>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</si>
  <si>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</si>
  <si>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</si>
  <si>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</si>
  <si>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</si>
  <si>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</si>
  <si>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</si>
  <si>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</si>
  <si>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</si>
  <si>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</si>
  <si>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</si>
  <si>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</si>
  <si>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</si>
  <si>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</si>
  <si>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</si>
  <si>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</si>
  <si>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</si>
  <si>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</si>
  <si>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</si>
  <si>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</si>
  <si>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</si>
  <si>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</si>
  <si>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</si>
  <si>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</si>
  <si>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</si>
  <si>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</si>
  <si>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</si>
  <si>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</si>
  <si>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</si>
  <si>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</si>
  <si>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</si>
  <si>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</si>
  <si>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</si>
  <si>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</si>
  <si>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</si>
  <si>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</si>
  <si>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</si>
  <si>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</si>
  <si>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</si>
  <si>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</si>
  <si>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</si>
  <si>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</si>
  <si>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</si>
  <si>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</si>
  <si>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</si>
  <si>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</si>
  <si>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</si>
  <si>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</si>
  <si>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</si>
  <si>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</si>
  <si>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</si>
  <si>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</si>
  <si>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</si>
  <si>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</si>
  <si>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</si>
  <si>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</si>
  <si>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</si>
  <si>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</si>
  <si>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</si>
  <si>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</si>
  <si>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</si>
  <si>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</si>
  <si>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</si>
  <si>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</si>
  <si>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</si>
  <si>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</si>
  <si>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</si>
  <si>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</si>
  <si>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</si>
  <si>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</si>
  <si>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</si>
  <si>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</si>
  <si>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</si>
  <si>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</si>
  <si>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</si>
  <si>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</si>
  <si>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</si>
  <si>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</si>
  <si>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</si>
  <si>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</si>
  <si>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</si>
  <si>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</si>
  <si>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</si>
  <si>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</si>
  <si>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</si>
  <si>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</si>
  <si>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</si>
  <si>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</si>
  <si>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</si>
  <si>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</si>
  <si>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</si>
  <si>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</si>
  <si>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</si>
  <si>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</si>
  <si>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</si>
  <si>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</si>
  <si>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</si>
  <si>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</si>
  <si>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</si>
  <si>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</si>
  <si>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</si>
  <si>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</si>
  <si>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</si>
  <si>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</si>
  <si>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</si>
  <si>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</si>
  <si>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</si>
  <si>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</si>
  <si>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</si>
  <si>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</si>
  <si>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</si>
  <si>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</si>
  <si>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</si>
  <si>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</si>
  <si>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</si>
  <si>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</si>
  <si>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</si>
  <si>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</si>
  <si>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</si>
  <si>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</si>
  <si>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</si>
  <si>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</si>
  <si>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</si>
  <si>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</si>
  <si>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</si>
  <si>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</si>
  <si>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</si>
  <si>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</si>
  <si>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</si>
  <si>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</si>
  <si>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</si>
  <si>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</si>
  <si>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</si>
  <si>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</si>
  <si>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</si>
  <si>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</si>
  <si>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</si>
  <si>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</si>
  <si>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</si>
  <si>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</si>
  <si>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</si>
  <si>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</si>
  <si>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</si>
  <si>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</si>
  <si>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</si>
  <si>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</si>
  <si>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</si>
  <si>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</si>
  <si>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</si>
  <si>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</si>
  <si>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</si>
  <si>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</si>
  <si>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</si>
  <si>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</si>
  <si>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</si>
  <si>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</si>
  <si>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</si>
  <si>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</si>
  <si>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</si>
  <si>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</si>
  <si>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</si>
  <si>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</si>
  <si>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</si>
  <si>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</si>
  <si>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</si>
  <si>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</si>
  <si>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</si>
  <si>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</si>
  <si>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</si>
  <si>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</si>
  <si>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</si>
  <si>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</si>
  <si>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</si>
  <si>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</si>
  <si>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</si>
  <si>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</si>
  <si>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</si>
  <si>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</si>
  <si>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</si>
  <si>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</si>
  <si>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</si>
  <si>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</si>
  <si>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</si>
  <si>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</si>
  <si>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</si>
  <si>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</si>
  <si>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</si>
  <si>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</si>
  <si>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</si>
  <si>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</si>
  <si>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</si>
  <si>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</si>
  <si>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</si>
  <si>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</si>
  <si>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</si>
  <si>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</si>
  <si>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</si>
  <si>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</si>
  <si>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</si>
  <si>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</si>
  <si>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</si>
  <si>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</si>
  <si>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</si>
  <si>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</si>
  <si>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</si>
  <si>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</si>
  <si>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</si>
  <si>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</si>
  <si>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</si>
  <si>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</si>
  <si>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</si>
  <si>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</si>
  <si>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</si>
  <si>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</si>
  <si>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</si>
  <si>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</si>
  <si>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</si>
  <si>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</si>
  <si>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</si>
  <si>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</si>
  <si>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</si>
  <si>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</si>
  <si>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</si>
  <si>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</si>
  <si>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</si>
  <si>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</si>
  <si>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</si>
  <si>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</si>
  <si>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</si>
  <si>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</si>
  <si>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</si>
  <si>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</si>
  <si>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</si>
  <si>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</si>
  <si>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</si>
  <si>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</si>
  <si>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</si>
  <si>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</si>
  <si>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</si>
  <si>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</si>
  <si>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</si>
  <si>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</si>
  <si>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</si>
  <si>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</si>
  <si>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</si>
  <si>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</si>
  <si>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</si>
  <si>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</si>
  <si>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</si>
  <si>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</si>
  <si>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</si>
  <si>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</si>
  <si>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</si>
  <si>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</si>
  <si>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</si>
  <si>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</si>
  <si>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</si>
  <si>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</si>
  <si>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</si>
  <si>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</si>
  <si>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</si>
  <si>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</si>
  <si>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</si>
  <si>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</si>
  <si>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</si>
  <si>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</si>
  <si>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</si>
  <si>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</si>
  <si>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</si>
  <si>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</si>
  <si>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</si>
  <si>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</si>
  <si>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</si>
  <si>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</si>
  <si>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</si>
  <si>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</si>
  <si>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</si>
  <si>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</si>
  <si>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</si>
  <si>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</si>
  <si>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</si>
  <si>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</si>
  <si>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</si>
  <si>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</si>
  <si>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</si>
  <si>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</si>
  <si>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</si>
  <si>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</si>
  <si>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</si>
  <si>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</si>
  <si>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</si>
  <si>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</si>
  <si>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</si>
  <si>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</si>
  <si>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</si>
  <si>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</si>
  <si>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</si>
  <si>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</si>
  <si>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</si>
  <si>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</si>
  <si>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</si>
  <si>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</si>
  <si>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</si>
  <si>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</si>
  <si>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</si>
  <si>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</si>
  <si>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</si>
  <si>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</si>
  <si>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</si>
  <si>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</si>
  <si>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</si>
  <si>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</si>
  <si>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</si>
  <si>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</si>
  <si>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</si>
  <si>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</si>
  <si>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</si>
  <si>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</si>
  <si>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</si>
  <si>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</si>
  <si>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</si>
  <si>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</si>
  <si>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</si>
  <si>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</si>
  <si>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</si>
  <si>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</si>
  <si>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</si>
  <si>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</si>
  <si>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</si>
  <si>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</si>
  <si>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</si>
  <si>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</si>
  <si>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</si>
  <si>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</si>
  <si>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</si>
  <si>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</si>
  <si>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</si>
  <si>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</si>
  <si>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</si>
  <si>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</si>
  <si>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</si>
  <si>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</si>
  <si>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</si>
  <si>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</si>
  <si>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</si>
  <si>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</si>
  <si>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</si>
  <si>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</si>
  <si>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</si>
  <si>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</si>
  <si>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</si>
  <si>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</si>
  <si>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</si>
  <si>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</si>
  <si>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</si>
  <si>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</si>
  <si>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</si>
  <si>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</si>
  <si>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</si>
  <si>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</si>
  <si>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</si>
  <si>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</si>
  <si>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</si>
  <si>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</si>
  <si>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</si>
  <si>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</si>
  <si>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</si>
  <si>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</si>
  <si>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</si>
  <si>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</si>
  <si>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</si>
  <si>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</si>
  <si>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</si>
  <si>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</si>
  <si>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</si>
  <si>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</si>
  <si>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</si>
  <si>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</si>
  <si>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</si>
  <si>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</si>
  <si>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</si>
  <si>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</si>
  <si>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</si>
  <si>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</si>
  <si>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</si>
  <si>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</si>
  <si>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</si>
  <si>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</si>
  <si>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</si>
  <si>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</si>
  <si>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</si>
  <si>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</si>
  <si>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</si>
  <si>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</si>
  <si>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</si>
  <si>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</si>
  <si>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</si>
  <si>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</si>
  <si>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</si>
  <si>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</si>
  <si>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</si>
  <si>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</si>
  <si>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</si>
  <si>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</si>
  <si>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</si>
  <si>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</si>
  <si>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</si>
  <si>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</si>
  <si>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</si>
  <si>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</si>
  <si>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</si>
  <si>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</si>
  <si>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</si>
  <si>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</si>
  <si>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</si>
  <si>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</si>
  <si>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</si>
  <si>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</si>
  <si>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</si>
  <si>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</si>
  <si>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</si>
  <si>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</si>
  <si>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</si>
  <si>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</si>
  <si>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</si>
  <si>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</si>
  <si>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</si>
  <si>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</si>
  <si>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</si>
  <si>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</si>
  <si>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</si>
  <si>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</si>
  <si>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</si>
  <si>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</si>
  <si>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</si>
  <si>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</si>
  <si>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</si>
  <si>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</si>
  <si>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</si>
  <si>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</si>
  <si>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</si>
  <si>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</si>
  <si>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</si>
  <si>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</si>
  <si>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</si>
  <si>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</si>
  <si>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</si>
  <si>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</si>
  <si>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</si>
  <si>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</si>
  <si>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</si>
  <si>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</si>
  <si>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</si>
  <si>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</si>
  <si>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</si>
  <si>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</si>
  <si>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</si>
  <si>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</si>
  <si>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</si>
  <si>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</si>
  <si>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</si>
  <si>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</si>
  <si>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</si>
  <si>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</si>
  <si>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</si>
  <si>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</si>
  <si>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</si>
  <si>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</si>
  <si>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</si>
  <si>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</si>
  <si>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</si>
  <si>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</si>
  <si>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</si>
  <si>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</si>
  <si>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</si>
  <si>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</si>
  <si>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</si>
  <si>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</si>
  <si>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</si>
  <si>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</si>
  <si>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</si>
  <si>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</si>
  <si>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</si>
  <si>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</si>
  <si>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</si>
  <si>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</si>
  <si>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</si>
  <si>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</si>
  <si>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</si>
  <si>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</si>
  <si>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</si>
  <si>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</si>
  <si>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</si>
  <si>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</si>
  <si>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</si>
  <si>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</si>
  <si>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</si>
  <si>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</si>
  <si>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</si>
  <si>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</si>
  <si>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</si>
  <si>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</si>
  <si>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</si>
  <si>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</si>
  <si>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</si>
  <si>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</si>
  <si>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</si>
  <si>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</si>
  <si>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</si>
  <si>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</si>
  <si>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</si>
  <si>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</si>
  <si>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</si>
  <si>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</si>
  <si>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</si>
  <si>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</si>
  <si>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</si>
  <si>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</si>
  <si>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</si>
  <si>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</si>
  <si>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</si>
  <si>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</si>
  <si>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</si>
  <si>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</si>
  <si>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</si>
  <si>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</si>
  <si>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</si>
  <si>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</si>
  <si>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</si>
  <si>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</si>
  <si>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</si>
  <si>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</si>
  <si>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</si>
  <si>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</si>
  <si>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</si>
  <si>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</si>
  <si>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</si>
  <si>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</si>
  <si>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</si>
  <si>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</si>
  <si>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</si>
  <si>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</si>
  <si>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</si>
  <si>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</si>
  <si>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</si>
  <si>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</si>
  <si>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</si>
  <si>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</si>
  <si>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</si>
  <si>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</si>
  <si>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</si>
  <si>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</si>
  <si>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</si>
  <si>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</si>
  <si>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</si>
  <si>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</si>
  <si>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</si>
  <si>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</si>
  <si>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</si>
  <si>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</si>
  <si>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</si>
  <si>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</si>
  <si>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</si>
  <si>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</si>
  <si>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</si>
  <si>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</si>
  <si>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</si>
  <si>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</si>
  <si>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</si>
  <si>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</si>
  <si>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</si>
  <si>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</si>
  <si>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</si>
  <si>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</si>
  <si>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</si>
  <si>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</si>
  <si>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</si>
  <si>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</si>
  <si>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</si>
  <si>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</si>
  <si>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</si>
  <si>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</si>
  <si>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</si>
  <si>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</si>
  <si>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</si>
  <si>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</si>
  <si>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</si>
  <si>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</si>
  <si>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</si>
  <si>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</si>
  <si>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</si>
  <si>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</si>
  <si>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</si>
  <si>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</si>
  <si>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</si>
  <si>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</si>
  <si>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</si>
  <si>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</si>
  <si>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</si>
  <si>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</si>
  <si>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</si>
  <si>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</si>
  <si>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</si>
  <si>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</si>
  <si>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</si>
  <si>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</si>
  <si>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</si>
  <si>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</si>
  <si>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</si>
  <si>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</si>
  <si>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</si>
  <si>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</si>
  <si>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</si>
  <si>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</si>
  <si>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</si>
  <si>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</si>
  <si>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</si>
  <si>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</si>
  <si>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</si>
  <si>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</si>
  <si>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</si>
  <si>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</si>
  <si>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</si>
  <si>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</si>
  <si>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</si>
  <si>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</si>
  <si>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</si>
  <si>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</si>
  <si>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</si>
  <si>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</si>
  <si>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</si>
  <si>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</si>
  <si>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</si>
  <si>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</si>
  <si>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</si>
  <si>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</si>
  <si>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</si>
  <si>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</si>
  <si>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</si>
  <si>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</si>
  <si>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</si>
  <si>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</si>
  <si>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</si>
  <si>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</si>
  <si>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</si>
  <si>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</si>
  <si>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</si>
  <si>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</si>
  <si>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</si>
  <si>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</si>
  <si>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</si>
  <si>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</si>
  <si>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</si>
  <si>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</si>
  <si>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</si>
  <si>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</si>
  <si>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</si>
  <si>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</si>
  <si>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</si>
  <si>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</si>
  <si>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</si>
  <si>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</si>
  <si>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</si>
  <si>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</si>
  <si>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</si>
  <si>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</si>
  <si>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</si>
  <si>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</si>
  <si>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</si>
  <si>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</si>
  <si>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</si>
  <si>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</si>
  <si>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</si>
  <si>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</si>
  <si>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</si>
  <si>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</si>
  <si>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</si>
  <si>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</si>
  <si>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</si>
  <si>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</si>
  <si>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</si>
  <si>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</si>
  <si>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</si>
  <si>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</si>
  <si>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</si>
  <si>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</si>
  <si>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</si>
  <si>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</si>
  <si>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</si>
  <si>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</si>
  <si>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</si>
  <si>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</si>
  <si>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</si>
  <si>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</si>
  <si>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</si>
  <si>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</si>
  <si>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</si>
  <si>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</si>
  <si>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</si>
  <si>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</si>
  <si>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</si>
  <si>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</si>
  <si>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</si>
  <si>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</si>
  <si>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</si>
  <si>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</si>
  <si>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</si>
  <si>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</si>
  <si>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</si>
  <si>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</si>
  <si>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</si>
  <si>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</si>
  <si>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</si>
  <si>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</si>
  <si>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</si>
  <si>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</si>
  <si>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</si>
  <si>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</si>
  <si>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</si>
  <si>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</si>
  <si>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</si>
  <si>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</si>
  <si>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</si>
  <si>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</si>
  <si>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</si>
  <si>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</si>
  <si>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</si>
  <si>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</si>
  <si>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</si>
  <si>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</si>
  <si>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</si>
  <si>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</si>
  <si>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</si>
  <si>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</si>
  <si>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</si>
  <si>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</si>
  <si>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</si>
  <si>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</si>
  <si>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</si>
  <si>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</si>
  <si>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</si>
  <si>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</si>
  <si>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</si>
  <si>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</si>
  <si>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</si>
  <si>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</si>
  <si>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</si>
  <si>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</si>
  <si>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</si>
  <si>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</si>
  <si>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</si>
  <si>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</si>
  <si>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</si>
  <si>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</si>
  <si>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</si>
  <si>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</si>
  <si>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</si>
  <si>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</si>
  <si>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</si>
  <si>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</si>
  <si>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</si>
  <si>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</si>
  <si>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</si>
  <si>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</si>
  <si>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</si>
  <si>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</si>
  <si>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</si>
  <si>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</si>
  <si>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</si>
  <si>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</si>
  <si>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</si>
  <si>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</si>
  <si>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</si>
  <si>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</si>
  <si>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</si>
  <si>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</si>
  <si>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</si>
  <si>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</si>
  <si>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</si>
  <si>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</si>
  <si>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</si>
  <si>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</si>
  <si>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</si>
  <si>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</si>
  <si>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</si>
  <si>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</si>
  <si>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</si>
  <si>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</si>
  <si>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</si>
  <si>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</si>
  <si>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</si>
  <si>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</si>
  <si>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</si>
  <si>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</si>
  <si>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</si>
  <si>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</si>
  <si>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</si>
  <si>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</si>
  <si>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</si>
  <si>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</si>
  <si>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</si>
  <si>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</si>
  <si>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</si>
  <si>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</si>
  <si>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</si>
  <si>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</si>
  <si>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</si>
  <si>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</si>
  <si>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</si>
  <si>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</si>
  <si>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</si>
  <si>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</si>
  <si>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</si>
  <si>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</si>
  <si>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</si>
  <si>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</si>
  <si>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</si>
  <si>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</si>
  <si>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</si>
  <si>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</si>
  <si>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</si>
  <si>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</si>
  <si>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</si>
  <si>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</si>
  <si>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</si>
  <si>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</si>
  <si>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</si>
  <si>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</si>
  <si>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</si>
  <si>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</si>
  <si>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</si>
  <si>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</si>
  <si>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</si>
  <si>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</si>
  <si>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</si>
  <si>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</si>
  <si>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</si>
  <si>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</si>
  <si>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</si>
  <si>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</si>
  <si>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</si>
  <si>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</si>
  <si>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</si>
  <si>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</si>
  <si>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</si>
  <si>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</si>
  <si>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</si>
  <si>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</si>
  <si>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</si>
  <si>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</si>
  <si>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</si>
  <si>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</si>
  <si>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</si>
  <si>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</si>
  <si>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</si>
  <si>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</si>
  <si>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</si>
  <si>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</si>
  <si>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</si>
  <si>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</si>
  <si>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</si>
  <si>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</si>
  <si>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</si>
  <si>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</si>
  <si>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</si>
  <si>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</si>
  <si>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</si>
  <si>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</si>
  <si>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</si>
  <si>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</si>
  <si>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</si>
  <si>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</si>
  <si>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</si>
  <si>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</si>
  <si>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</si>
  <si>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</si>
  <si>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</si>
  <si>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</si>
  <si>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</si>
  <si>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</si>
  <si>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</si>
  <si>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</si>
  <si>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</si>
  <si>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</si>
  <si>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</si>
  <si>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</si>
  <si>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</si>
  <si>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</si>
  <si>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</si>
  <si>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</si>
  <si>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</si>
  <si>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</si>
  <si>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</si>
  <si>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</si>
  <si>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</si>
  <si>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</si>
  <si>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</si>
  <si>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</si>
  <si>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</si>
  <si>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</si>
  <si>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</si>
  <si>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</si>
  <si>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</si>
  <si>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</si>
  <si>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</si>
  <si>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</si>
  <si>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</si>
  <si>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</si>
  <si>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</si>
  <si>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</si>
  <si>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</si>
  <si>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</si>
  <si>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</si>
  <si>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</si>
  <si>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</si>
  <si>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</si>
  <si>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</si>
  <si>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</si>
  <si>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</si>
  <si>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</si>
  <si>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</si>
  <si>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</si>
  <si>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</si>
  <si>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</si>
  <si>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</si>
  <si>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</si>
  <si>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</si>
  <si>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</si>
  <si>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</si>
  <si>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</si>
  <si>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</si>
  <si>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</si>
  <si>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</si>
  <si>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</si>
  <si>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</si>
  <si>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</si>
  <si>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</si>
  <si>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</si>
  <si>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</si>
  <si>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</si>
  <si>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</si>
  <si>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</si>
  <si>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</si>
  <si>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</si>
  <si>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</si>
  <si>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</si>
  <si>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</si>
  <si>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</si>
  <si>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</si>
  <si>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</si>
  <si>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</si>
  <si>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</si>
  <si>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</si>
  <si>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</si>
  <si>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</si>
  <si>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</si>
  <si>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</si>
  <si>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</si>
  <si>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</si>
  <si>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</si>
  <si>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</si>
  <si>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</si>
  <si>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</si>
  <si>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</si>
  <si>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</si>
  <si>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</si>
  <si>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</si>
  <si>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</si>
  <si>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</si>
  <si>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</si>
  <si>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</si>
  <si>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</si>
  <si>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</si>
  <si>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</si>
  <si>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</si>
  <si>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</si>
  <si>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</si>
  <si>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</si>
  <si>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</si>
  <si>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</si>
  <si>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</si>
  <si>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</si>
  <si>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</si>
  <si>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</si>
  <si>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</si>
  <si>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</si>
  <si>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</si>
  <si>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</si>
  <si>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</si>
  <si>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</si>
  <si>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</si>
  <si>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</si>
  <si>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</si>
  <si>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</si>
  <si>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</si>
  <si>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</si>
  <si>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</si>
  <si>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</si>
  <si>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</si>
  <si>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</si>
  <si>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</si>
  <si>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</si>
  <si>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</si>
  <si>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</si>
  <si>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</si>
  <si>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</si>
  <si>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</si>
  <si>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</si>
  <si>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</si>
  <si>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</si>
  <si>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</si>
  <si>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</si>
  <si>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</si>
  <si>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</si>
  <si>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</si>
  <si>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</si>
  <si>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</si>
  <si>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</si>
  <si>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</si>
  <si>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</si>
  <si>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</si>
  <si>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</si>
  <si>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</si>
  <si>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</si>
  <si>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</si>
  <si>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</si>
  <si>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</si>
  <si>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</si>
  <si>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</si>
  <si>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</si>
  <si>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</si>
  <si>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</si>
  <si>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</si>
  <si>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</si>
  <si>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</si>
  <si>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</si>
  <si>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</si>
  <si>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</si>
  <si>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</si>
  <si>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</si>
  <si>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</si>
  <si>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</si>
  <si>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</si>
  <si>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</si>
  <si>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</si>
  <si>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</si>
  <si>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</si>
  <si>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</si>
  <si>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</si>
  <si>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</si>
  <si>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</si>
  <si>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</si>
  <si>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</si>
  <si>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</si>
  <si>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</si>
  <si>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</si>
  <si>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</si>
  <si>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</si>
  <si>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</si>
  <si>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</si>
  <si>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</si>
  <si>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</si>
  <si>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</si>
  <si>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</si>
  <si>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</si>
  <si>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</si>
  <si>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</si>
  <si>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</si>
  <si>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</si>
  <si>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</si>
  <si>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</si>
  <si>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</si>
  <si>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</si>
  <si>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</si>
  <si>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</si>
  <si>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</si>
  <si>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</si>
  <si>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</si>
  <si>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</si>
  <si>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</si>
  <si>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</si>
  <si>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</si>
  <si>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</si>
  <si>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</si>
  <si>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</si>
  <si>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</si>
  <si>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</si>
  <si>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</si>
  <si>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</si>
  <si>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</si>
  <si>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</si>
  <si>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</si>
  <si>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</si>
  <si>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</si>
  <si>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</si>
  <si>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</si>
  <si>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</si>
  <si>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</si>
  <si>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</si>
  <si>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</si>
  <si>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</si>
  <si>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</si>
  <si>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</si>
  <si>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</si>
  <si>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</si>
  <si>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</si>
  <si>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</si>
  <si>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</si>
  <si>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</si>
  <si>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</si>
  <si>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</si>
  <si>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</si>
  <si>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</si>
  <si>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</si>
  <si>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</si>
  <si>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</si>
  <si>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</si>
  <si>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</si>
  <si>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</si>
  <si>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</si>
  <si>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</si>
  <si>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</si>
  <si>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</si>
  <si>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</si>
  <si>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</si>
  <si>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</si>
  <si>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</si>
  <si>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</si>
  <si>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</si>
  <si>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</si>
  <si>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</si>
  <si>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</si>
  <si>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</si>
  <si>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</si>
  <si>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</si>
  <si>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</si>
  <si>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</si>
  <si>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</si>
  <si>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</si>
  <si>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</si>
  <si>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</si>
  <si>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</si>
  <si>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</si>
  <si>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</si>
  <si>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</si>
  <si>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</si>
  <si>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</si>
  <si>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</si>
  <si>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</si>
  <si>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</si>
  <si>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</si>
  <si>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</si>
  <si>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</si>
  <si>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</si>
  <si>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</si>
  <si>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</si>
  <si>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</si>
  <si>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</si>
  <si>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</si>
  <si>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</si>
  <si>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</si>
  <si>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</si>
  <si>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</si>
  <si>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</si>
  <si>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</si>
  <si>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</si>
  <si>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</si>
  <si>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</si>
  <si>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</si>
  <si>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</si>
  <si>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</si>
  <si>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</si>
  <si>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</si>
  <si>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</si>
  <si>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</si>
  <si>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</si>
  <si>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</si>
  <si>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</si>
  <si>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</si>
  <si>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</si>
  <si>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</si>
  <si>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</si>
  <si>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</si>
  <si>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</si>
  <si>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</si>
  <si>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</si>
  <si>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</si>
  <si>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</si>
  <si>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</si>
  <si>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</si>
  <si>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</si>
  <si>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</si>
  <si>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</si>
  <si>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</si>
  <si>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</si>
  <si>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</si>
  <si>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</si>
  <si>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</si>
  <si>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</si>
  <si>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</si>
  <si>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</si>
  <si>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</si>
  <si>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</si>
  <si>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</si>
  <si>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</si>
  <si>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</si>
  <si>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</si>
  <si>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</si>
  <si>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</si>
  <si>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</si>
  <si>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</si>
  <si>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</si>
  <si>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</si>
  <si>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</si>
  <si>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</si>
  <si>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</si>
  <si>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</si>
  <si>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</si>
  <si>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</si>
  <si>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</si>
  <si>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</si>
  <si>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</si>
  <si>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</si>
  <si>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</si>
  <si>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</si>
  <si>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</si>
  <si>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</si>
  <si>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</si>
  <si>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</si>
  <si>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</si>
  <si>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</si>
  <si>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</si>
  <si>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</si>
  <si>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</si>
  <si>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</si>
  <si>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</si>
  <si>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</si>
  <si>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</si>
  <si>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</si>
  <si>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</si>
  <si>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</si>
  <si>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</si>
  <si>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</si>
  <si>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</si>
  <si>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</si>
  <si>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</si>
  <si>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</si>
  <si>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</si>
  <si>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</si>
  <si>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</si>
  <si>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</si>
  <si>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</si>
  <si>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</si>
  <si>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</si>
  <si>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</si>
  <si>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</si>
  <si>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</si>
  <si>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</si>
  <si>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</si>
  <si>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</si>
  <si>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</si>
  <si>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</si>
  <si>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</si>
  <si>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</si>
  <si>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</si>
  <si>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</si>
  <si>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</si>
  <si>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</si>
  <si>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</si>
  <si>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</si>
  <si>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</si>
  <si>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</si>
  <si>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</si>
  <si>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</si>
  <si>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</si>
  <si>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</si>
  <si>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</si>
  <si>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</si>
  <si>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</si>
  <si>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</si>
  <si>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</si>
  <si>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</si>
  <si>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</si>
  <si>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</si>
  <si>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</si>
  <si>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</si>
  <si>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</si>
  <si>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</si>
  <si>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</si>
  <si>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</si>
  <si>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</si>
  <si>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</si>
  <si>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</si>
  <si>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</si>
  <si>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</si>
  <si>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</si>
  <si>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</si>
  <si>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</si>
  <si>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</si>
  <si>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</si>
  <si>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</si>
  <si>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</si>
  <si>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</si>
  <si>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</si>
  <si>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</si>
  <si>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</si>
  <si>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</si>
  <si>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</si>
  <si>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</si>
  <si>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</si>
  <si>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</si>
  <si>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</si>
  <si>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</si>
  <si>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</si>
  <si>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</si>
  <si>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</si>
  <si>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</si>
  <si>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</si>
  <si>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</si>
  <si>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</si>
  <si>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</si>
  <si>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</si>
  <si>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</si>
  <si>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</si>
  <si>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</si>
  <si>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</si>
  <si>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</si>
  <si>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</si>
  <si>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</si>
  <si>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</si>
  <si>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</si>
  <si>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</si>
  <si>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</si>
  <si>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</si>
  <si>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</si>
  <si>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</si>
  <si>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</si>
  <si>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</si>
  <si>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</si>
  <si>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</si>
  <si>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</si>
  <si>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</si>
  <si>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</si>
  <si>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</si>
  <si>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</si>
  <si>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</si>
  <si>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</si>
  <si>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</si>
  <si>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</si>
  <si>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</si>
  <si>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</si>
  <si>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</si>
  <si>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</si>
  <si>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</si>
  <si>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</si>
  <si>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</si>
  <si>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</si>
  <si>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</si>
  <si>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</si>
  <si>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</si>
  <si>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</si>
  <si>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</si>
  <si>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</si>
  <si>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</si>
  <si>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</si>
  <si>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</si>
  <si>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</si>
  <si>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</si>
  <si>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</si>
  <si>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</si>
  <si>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</si>
  <si>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</si>
  <si>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</si>
  <si>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</si>
  <si>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</si>
  <si>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</si>
  <si>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</si>
  <si>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</si>
  <si>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</si>
  <si>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</si>
  <si>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</si>
  <si>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</si>
  <si>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</si>
  <si>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</si>
  <si>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</si>
  <si>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</si>
  <si>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</si>
  <si>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</si>
  <si>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</si>
  <si>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</si>
  <si>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</si>
  <si>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</si>
  <si>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</si>
  <si>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</si>
  <si>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</si>
  <si>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</si>
  <si>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</si>
  <si>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</si>
  <si>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</si>
  <si>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</si>
  <si>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</si>
  <si>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</si>
  <si>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</si>
  <si>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</si>
  <si>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</si>
  <si>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</si>
  <si>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</si>
  <si>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</si>
  <si>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</si>
  <si>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</si>
  <si>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</si>
  <si>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</si>
  <si>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</si>
  <si>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</si>
  <si>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</si>
  <si>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</si>
  <si>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</si>
  <si>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</si>
  <si>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</si>
  <si>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</si>
  <si>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</si>
  <si>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</si>
  <si>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</si>
  <si>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</si>
  <si>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</si>
  <si>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</si>
  <si>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</si>
  <si>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</si>
  <si>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</si>
  <si>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</si>
  <si>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</si>
  <si>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</si>
  <si>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</si>
  <si>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</si>
  <si>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</si>
  <si>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</si>
  <si>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</si>
  <si>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</si>
  <si>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</si>
  <si>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</si>
  <si>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</si>
  <si>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</si>
  <si>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</si>
  <si>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</si>
  <si>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</si>
  <si>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</si>
  <si>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</si>
  <si>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</si>
  <si>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</si>
  <si>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</si>
  <si>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</si>
  <si>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</si>
  <si>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</si>
  <si>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</si>
  <si>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</si>
  <si>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</si>
  <si>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</si>
  <si>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</si>
  <si>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</si>
  <si>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</si>
  <si>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</si>
  <si>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</si>
  <si>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</si>
  <si>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</si>
  <si>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</si>
  <si>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</si>
  <si>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</si>
  <si>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</si>
  <si>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</si>
  <si>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</si>
  <si>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</si>
  <si>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</si>
  <si>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</si>
  <si>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</si>
  <si>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</si>
  <si>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</si>
  <si>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</si>
  <si>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</si>
  <si>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</si>
  <si>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</si>
  <si>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</si>
  <si>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</si>
  <si>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</si>
  <si>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</si>
  <si>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</si>
  <si>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</si>
  <si>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</si>
  <si>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</si>
  <si>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</si>
  <si>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</si>
  <si>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</si>
  <si>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</si>
  <si>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</si>
  <si>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</si>
  <si>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</si>
  <si>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</si>
  <si>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</si>
  <si>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</si>
  <si>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</si>
  <si>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</si>
  <si>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</si>
  <si>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</si>
  <si>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</si>
  <si>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</si>
  <si>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</si>
  <si>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</si>
  <si>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</si>
  <si>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</si>
  <si>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</si>
  <si>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</si>
  <si>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</si>
  <si>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</si>
  <si>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</si>
  <si>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</si>
  <si>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</si>
  <si>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</si>
  <si>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</si>
  <si>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</si>
  <si>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</si>
  <si>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</si>
  <si>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</si>
  <si>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</si>
  <si>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</si>
  <si>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</si>
  <si>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</si>
  <si>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</si>
  <si>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</si>
  <si>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</si>
  <si>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</si>
  <si>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</si>
  <si>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</si>
  <si>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</si>
  <si>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</si>
  <si>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</si>
  <si>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</si>
  <si>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</si>
  <si>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</si>
  <si>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</si>
  <si>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</si>
  <si>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</si>
  <si>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</si>
  <si>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</si>
  <si>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</si>
  <si>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</si>
  <si>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</si>
  <si>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</si>
  <si>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</si>
  <si>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</si>
  <si>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</si>
  <si>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</si>
  <si>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</si>
  <si>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</si>
  <si>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</si>
  <si>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</si>
  <si>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</si>
  <si>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</si>
  <si>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</si>
  <si>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</si>
  <si>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</si>
  <si>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</si>
  <si>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</si>
  <si>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</si>
  <si>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</si>
  <si>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</si>
  <si>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</si>
  <si>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</si>
  <si>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</si>
  <si>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</si>
  <si>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</si>
  <si>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</si>
  <si>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</si>
  <si>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</si>
  <si>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</si>
  <si>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</si>
  <si>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</si>
  <si>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</si>
  <si>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</si>
  <si>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</si>
  <si>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</si>
  <si>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</si>
  <si>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</si>
  <si>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</si>
  <si>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</si>
  <si>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</si>
  <si>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</si>
  <si>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</si>
  <si>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</si>
  <si>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</si>
  <si>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</si>
  <si>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</si>
  <si>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</si>
  <si>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</si>
  <si>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</si>
  <si>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</si>
  <si>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</si>
  <si>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</si>
  <si>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</si>
  <si>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</si>
  <si>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</si>
  <si>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</si>
  <si>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</si>
  <si>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</si>
  <si>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</si>
  <si>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</si>
  <si>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</si>
  <si>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</si>
  <si>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</si>
  <si>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</si>
  <si>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</si>
  <si>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</si>
  <si>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</si>
  <si>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</si>
  <si>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</si>
  <si>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</si>
  <si>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</si>
  <si>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</si>
  <si>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</si>
  <si>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</si>
  <si>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</si>
  <si>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</si>
  <si>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</si>
  <si>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</si>
  <si>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</si>
  <si>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</si>
  <si>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</si>
  <si>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</si>
  <si>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</si>
  <si>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</si>
  <si>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</si>
  <si>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</si>
  <si>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</si>
  <si>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</si>
  <si>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</si>
  <si>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</si>
  <si>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</si>
  <si>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</si>
  <si>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</si>
  <si>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</si>
  <si>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</si>
  <si>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</si>
  <si>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</si>
  <si>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</si>
  <si>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</si>
  <si>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</si>
  <si>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</si>
  <si>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</si>
  <si>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</si>
  <si>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</si>
  <si>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</si>
  <si>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</si>
  <si>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</si>
  <si>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</si>
  <si>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</si>
  <si>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</si>
  <si>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</si>
  <si>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</si>
  <si>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</si>
  <si>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</si>
  <si>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</si>
  <si>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</si>
  <si>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</si>
  <si>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</si>
  <si>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</si>
  <si>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</si>
  <si>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</si>
  <si>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</si>
  <si>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</si>
  <si>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</si>
  <si>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</si>
  <si>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</si>
  <si>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</si>
  <si>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</si>
  <si>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</si>
  <si>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</si>
  <si>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</si>
  <si>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</si>
  <si>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</si>
  <si>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</si>
  <si>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</si>
  <si>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</si>
  <si>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</si>
  <si>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</si>
  <si>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</si>
  <si>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</si>
  <si>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</si>
  <si>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</si>
  <si>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</si>
  <si>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</si>
  <si>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</si>
  <si>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</si>
  <si>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</si>
  <si>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</si>
  <si>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</si>
  <si>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</si>
  <si>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</si>
  <si>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</si>
  <si>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</si>
  <si>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</si>
  <si>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</si>
  <si>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</si>
  <si>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</si>
  <si>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</si>
  <si>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</si>
  <si>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</si>
  <si>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</si>
  <si>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</si>
  <si>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</si>
  <si>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</si>
  <si>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</si>
  <si>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</si>
  <si>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</si>
  <si>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</si>
  <si>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</si>
  <si>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</si>
  <si>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</si>
  <si>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</si>
  <si>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</si>
  <si>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</si>
  <si>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</si>
  <si>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</si>
  <si>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</si>
  <si>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</si>
  <si>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</si>
  <si>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</si>
  <si>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</si>
  <si>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</si>
  <si>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</si>
  <si>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</si>
  <si>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</si>
  <si>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</si>
  <si>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</si>
  <si>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</si>
  <si>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</si>
  <si>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</si>
  <si>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</si>
  <si>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</si>
  <si>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</si>
  <si>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</si>
  <si>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</si>
  <si>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</si>
  <si>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</si>
  <si>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</si>
  <si>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</si>
  <si>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</si>
  <si>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</si>
  <si>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</si>
  <si>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</si>
  <si>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</si>
  <si>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</si>
  <si>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</si>
  <si>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</si>
  <si>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</si>
  <si>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</si>
  <si>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</si>
  <si>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</si>
  <si>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</si>
  <si>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</si>
  <si>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</si>
  <si>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</si>
  <si>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</si>
  <si>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</si>
  <si>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</si>
  <si>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</si>
  <si>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</si>
  <si>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</si>
  <si>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</si>
  <si>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</si>
  <si>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</si>
  <si>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</si>
  <si>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</si>
  <si>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</si>
  <si>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</si>
  <si>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</si>
  <si>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</si>
  <si>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</si>
  <si>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</si>
  <si>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</si>
  <si>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</si>
  <si>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</si>
  <si>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</si>
  <si>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</si>
  <si>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</si>
  <si>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</si>
  <si>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</si>
  <si>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</si>
  <si>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</si>
  <si>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</si>
  <si>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</si>
  <si>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</si>
  <si>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</si>
  <si>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</si>
  <si>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</si>
  <si>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</si>
  <si>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</si>
  <si>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</si>
  <si>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</si>
  <si>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</si>
  <si>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</si>
  <si>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</si>
  <si>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</si>
  <si>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</si>
  <si>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</si>
  <si>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</si>
  <si>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</si>
  <si>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</si>
  <si>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</si>
  <si>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</si>
  <si>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</si>
  <si>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</si>
  <si>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</si>
  <si>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</si>
  <si>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</si>
  <si>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</si>
  <si>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</si>
  <si>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</si>
  <si>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</si>
  <si>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</si>
  <si>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</si>
  <si>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</si>
  <si>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</si>
  <si>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</si>
  <si>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</si>
  <si>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</si>
  <si>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</si>
  <si>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</si>
  <si>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</si>
  <si>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</si>
  <si>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</si>
  <si>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</si>
  <si>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</si>
  <si>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</si>
  <si>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</si>
  <si>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</si>
  <si>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</si>
  <si>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</si>
  <si>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</si>
  <si>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</si>
  <si>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</si>
  <si>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</si>
  <si>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</si>
  <si>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</si>
  <si>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</si>
  <si>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</si>
  <si>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</si>
  <si>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</si>
  <si>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</si>
  <si>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</si>
  <si>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</si>
  <si>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</si>
  <si>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</si>
  <si>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</si>
  <si>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</si>
  <si>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</si>
  <si>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</si>
  <si>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</si>
  <si>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</si>
  <si>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</si>
  <si>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</si>
  <si>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</si>
  <si>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</si>
  <si>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</si>
  <si>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</si>
  <si>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</si>
  <si>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</si>
  <si>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</si>
  <si>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</si>
  <si>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</si>
  <si>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</si>
  <si>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</si>
  <si>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</si>
  <si>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</si>
  <si>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</si>
  <si>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</si>
  <si>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</si>
  <si>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</si>
  <si>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</si>
  <si>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</si>
  <si>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</si>
  <si>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</si>
  <si>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</si>
  <si>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</si>
  <si>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</si>
  <si>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</si>
  <si>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</si>
  <si>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</si>
  <si>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</si>
  <si>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</si>
  <si>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</si>
  <si>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</si>
  <si>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</si>
  <si>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</si>
  <si>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</si>
  <si>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</si>
  <si>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</si>
  <si>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</si>
  <si>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</si>
  <si>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</si>
  <si>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</si>
  <si>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</si>
  <si>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</si>
  <si>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</si>
  <si>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</si>
  <si>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</si>
  <si>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</si>
  <si>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</si>
  <si>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</si>
  <si>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</si>
  <si>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</si>
  <si>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</si>
  <si>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</si>
  <si>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</si>
  <si>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</si>
  <si>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</si>
  <si>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</si>
  <si>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</si>
  <si>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</si>
  <si>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</si>
  <si>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</si>
  <si>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</si>
  <si>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</si>
  <si>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</si>
  <si>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</si>
  <si>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</si>
  <si>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</si>
  <si>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</si>
  <si>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</si>
  <si>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</si>
  <si>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</si>
  <si>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</si>
  <si>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</si>
  <si>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</si>
  <si>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</si>
  <si>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</si>
  <si>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</si>
  <si>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</si>
  <si>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</si>
  <si>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</si>
  <si>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</si>
  <si>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</si>
  <si>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</si>
  <si>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</si>
  <si>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</si>
  <si>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</si>
  <si>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</si>
  <si>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</si>
  <si>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</si>
  <si>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</si>
  <si>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</si>
  <si>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</si>
  <si>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</si>
  <si>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</si>
  <si>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</si>
  <si>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</si>
  <si>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</si>
  <si>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</si>
  <si>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</si>
  <si>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</si>
  <si>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</si>
  <si>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</si>
  <si>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</si>
  <si>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</si>
  <si>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</si>
  <si>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</si>
  <si>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</si>
  <si>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</si>
  <si>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</si>
  <si>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</si>
  <si>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</si>
  <si>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</si>
  <si>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</si>
  <si>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</si>
  <si>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</si>
  <si>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</si>
  <si>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</si>
  <si>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</si>
  <si>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</si>
  <si>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</si>
  <si>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</si>
  <si>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</si>
  <si>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</si>
  <si>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</si>
  <si>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</si>
  <si>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</si>
  <si>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</si>
  <si>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</si>
  <si>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</si>
  <si>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</si>
  <si>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</si>
  <si>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</si>
  <si>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</si>
  <si>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</si>
  <si>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</si>
  <si>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</si>
  <si>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</si>
  <si>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</si>
  <si>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</si>
  <si>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</si>
  <si>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</si>
  <si>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</si>
  <si>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</si>
  <si>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</si>
  <si>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</si>
  <si>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</si>
  <si>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</si>
  <si>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</si>
  <si>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</si>
  <si>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</si>
  <si>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</si>
  <si>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</si>
  <si>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</si>
  <si>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</si>
  <si>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</si>
  <si>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</si>
  <si>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</si>
  <si>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</si>
  <si>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</si>
  <si>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</si>
  <si>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</si>
  <si>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</si>
  <si>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</si>
  <si>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</si>
  <si>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</si>
  <si>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</si>
  <si>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</si>
  <si>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</si>
  <si>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</si>
  <si>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</si>
  <si>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</si>
  <si>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</si>
  <si>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</si>
  <si>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</si>
  <si>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</si>
  <si>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</si>
  <si>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</si>
  <si>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</si>
  <si>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</si>
  <si>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</si>
  <si>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</si>
  <si>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</si>
  <si>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</si>
  <si>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</si>
  <si>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</si>
  <si>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</si>
  <si>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</si>
  <si>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</si>
  <si>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</si>
  <si>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</si>
  <si>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</si>
  <si>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</si>
  <si>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</si>
  <si>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</si>
  <si>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</si>
  <si>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</si>
  <si>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</si>
  <si>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</si>
  <si>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</si>
  <si>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</si>
  <si>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</si>
  <si>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</si>
  <si>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</si>
  <si>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</si>
  <si>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</si>
  <si>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</si>
  <si>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</si>
  <si>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</si>
  <si>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</si>
  <si>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</si>
  <si>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</si>
  <si>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</si>
  <si>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</si>
  <si>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</si>
  <si>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</si>
  <si>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</si>
  <si>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</si>
  <si>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</si>
  <si>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</si>
  <si>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</si>
  <si>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</si>
  <si>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</si>
  <si>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</si>
  <si>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</si>
  <si>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</si>
  <si>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</si>
  <si>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</si>
  <si>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</si>
  <si>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</si>
  <si>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</si>
  <si>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</si>
  <si>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</si>
  <si>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</si>
  <si>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</si>
  <si>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</si>
  <si>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</si>
  <si>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</si>
  <si>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</si>
  <si>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</si>
  <si>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</si>
  <si>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</si>
  <si>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</si>
  <si>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</si>
  <si>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</si>
  <si>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</si>
  <si>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</si>
  <si>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</si>
  <si>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</si>
  <si>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</si>
  <si>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</si>
  <si>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</si>
  <si>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</si>
  <si>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</si>
  <si>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</si>
  <si>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</si>
  <si>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</si>
  <si>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</si>
  <si>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</si>
  <si>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</si>
  <si>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</si>
  <si>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</si>
  <si>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</si>
  <si>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</si>
  <si>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</si>
  <si>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</si>
  <si>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</si>
  <si>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</si>
  <si>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</si>
  <si>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</si>
  <si>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</si>
  <si>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</si>
  <si>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</si>
  <si>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</si>
  <si>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</si>
  <si>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</si>
  <si>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</si>
  <si>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</si>
  <si>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</si>
  <si>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</si>
  <si>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</si>
  <si>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</si>
  <si>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</si>
  <si>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</si>
  <si>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</si>
  <si>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</si>
  <si>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</si>
  <si>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</si>
  <si>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</si>
  <si>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</si>
  <si>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</si>
  <si>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</si>
  <si>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</si>
  <si>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</si>
  <si>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</si>
  <si>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</si>
  <si>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</si>
  <si>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</si>
  <si>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</si>
  <si>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</si>
  <si>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</si>
  <si>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</si>
  <si>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</si>
  <si>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</si>
  <si>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</si>
  <si>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</si>
  <si>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</si>
  <si>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</si>
  <si>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</si>
  <si>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</si>
  <si>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</si>
  <si>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</si>
  <si>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</si>
  <si>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</si>
  <si>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</si>
  <si>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</si>
  <si>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</si>
  <si>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</si>
  <si>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</si>
  <si>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</si>
  <si>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</si>
  <si>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</si>
  <si>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</si>
  <si>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</si>
  <si>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</si>
  <si>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</si>
  <si>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</si>
  <si>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</si>
  <si>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</si>
  <si>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</si>
  <si>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</si>
  <si>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</si>
  <si>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</si>
  <si>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</si>
  <si>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</si>
  <si>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</si>
  <si>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</si>
  <si>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</si>
  <si>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</si>
  <si>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</si>
  <si>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</si>
  <si>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</si>
  <si>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</si>
  <si>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</si>
  <si>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</si>
  <si>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</si>
  <si>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</si>
  <si>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</si>
  <si>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</si>
  <si>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</si>
  <si>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</si>
  <si>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</si>
  <si>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</si>
  <si>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</si>
  <si>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</si>
  <si>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</si>
  <si>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</si>
  <si>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</si>
  <si>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</si>
  <si>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</si>
  <si>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</si>
  <si>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</si>
  <si>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</si>
  <si>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</si>
  <si>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</si>
  <si>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</si>
  <si>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</si>
  <si>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</si>
  <si>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</si>
  <si>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</si>
  <si>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</si>
  <si>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</si>
  <si>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</si>
  <si>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</si>
  <si>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</si>
  <si>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</si>
  <si>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</si>
  <si>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</si>
  <si>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</si>
  <si>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</si>
  <si>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</si>
  <si>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</si>
  <si>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</si>
  <si>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</si>
  <si>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</si>
  <si>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</si>
  <si>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</si>
  <si>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</si>
  <si>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</si>
  <si>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</si>
  <si>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</si>
  <si>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</si>
  <si>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</si>
  <si>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</si>
  <si>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</si>
  <si>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</si>
  <si>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</si>
  <si>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</si>
  <si>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</si>
  <si>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</si>
  <si>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</si>
  <si>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</si>
  <si>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</si>
  <si>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</si>
  <si>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</si>
  <si>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</si>
  <si>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</si>
  <si>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</si>
  <si>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</si>
  <si>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</si>
  <si>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</si>
  <si>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</si>
  <si>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</si>
  <si>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</si>
  <si>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</si>
  <si>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</si>
  <si>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</si>
  <si>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</si>
  <si>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</si>
  <si>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</si>
  <si>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</si>
  <si>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</si>
  <si>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</si>
  <si>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</si>
  <si>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</si>
  <si>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</si>
  <si>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</si>
  <si>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</si>
  <si>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</si>
  <si>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</si>
  <si>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</si>
  <si>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</si>
  <si>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</si>
  <si>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</si>
  <si>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</si>
  <si>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</si>
  <si>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</si>
  <si>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</si>
  <si>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</si>
  <si>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</si>
  <si>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</si>
  <si>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</si>
  <si>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</si>
  <si>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</si>
  <si>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</si>
  <si>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</si>
  <si>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</si>
  <si>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</si>
  <si>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</si>
  <si>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</si>
  <si>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</si>
  <si>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</si>
  <si>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</si>
  <si>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</si>
  <si>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</si>
  <si>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</si>
  <si>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</si>
  <si>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</si>
  <si>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</si>
  <si>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</si>
  <si>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</si>
  <si>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</si>
  <si>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</si>
  <si>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</si>
  <si>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</si>
  <si>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</si>
  <si>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</si>
  <si>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</si>
  <si>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</si>
  <si>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</si>
  <si>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</si>
  <si>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</si>
  <si>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</si>
  <si>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</si>
  <si>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</si>
  <si>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</si>
  <si>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</si>
  <si>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</si>
  <si>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</si>
  <si>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</si>
  <si>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</si>
  <si>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</si>
  <si>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</si>
  <si>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</si>
  <si>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</si>
  <si>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</si>
  <si>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</si>
  <si>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</si>
  <si>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</si>
  <si>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</si>
  <si>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</si>
  <si>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</si>
  <si>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</si>
  <si>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</si>
  <si>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</si>
  <si>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</si>
  <si>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</si>
  <si>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</si>
  <si>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</si>
  <si>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</si>
  <si>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</si>
  <si>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</si>
  <si>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</si>
  <si>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</si>
  <si>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</si>
  <si>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</si>
  <si>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</si>
  <si>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</si>
  <si>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</si>
  <si>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</si>
  <si>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</si>
  <si>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</si>
  <si>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</si>
  <si>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</si>
  <si>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</si>
  <si>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</si>
  <si>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</si>
  <si>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</si>
  <si>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</si>
  <si>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</si>
  <si>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</si>
  <si>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</si>
  <si>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</si>
  <si>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</si>
  <si>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</si>
  <si>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</si>
  <si>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</si>
  <si>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</si>
  <si>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</si>
  <si>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</si>
  <si>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</si>
  <si>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</si>
  <si>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</si>
  <si>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</si>
  <si>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</si>
  <si>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</si>
  <si>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</si>
  <si>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</si>
  <si>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</si>
  <si>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</si>
  <si>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</si>
  <si>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</si>
  <si>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</si>
  <si>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</si>
  <si>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</si>
  <si>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</si>
  <si>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</si>
  <si>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</si>
  <si>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</si>
  <si>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</si>
  <si>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</si>
  <si>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</si>
  <si>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</si>
  <si>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</si>
  <si>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</si>
  <si>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</si>
  <si>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</si>
  <si>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</si>
  <si>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</si>
  <si>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</si>
  <si>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</si>
  <si>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</si>
  <si>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</si>
  <si>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</si>
  <si>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</si>
  <si>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</si>
  <si>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</si>
  <si>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</si>
  <si>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</si>
  <si>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</si>
  <si>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</si>
  <si>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</si>
  <si>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</si>
  <si>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</si>
  <si>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</si>
  <si>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</si>
  <si>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</si>
  <si>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</si>
  <si>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</si>
  <si>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</si>
  <si>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</si>
  <si>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</si>
  <si>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</si>
  <si>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</si>
  <si>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</si>
  <si>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</si>
  <si>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</si>
  <si>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</si>
  <si>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</si>
  <si>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</si>
  <si>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</si>
  <si>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</si>
  <si>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</si>
  <si>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</si>
  <si>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</si>
  <si>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</si>
  <si>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</si>
  <si>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</si>
  <si>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</si>
  <si>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</si>
  <si>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</si>
  <si>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</si>
  <si>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</si>
  <si>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</si>
  <si>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</si>
  <si>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</si>
  <si>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</si>
  <si>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</si>
  <si>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</si>
  <si>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</si>
  <si>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</si>
  <si>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</si>
  <si>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</si>
  <si>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</si>
  <si>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</si>
  <si>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</si>
  <si>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</si>
  <si>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</si>
  <si>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</si>
  <si>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</si>
  <si>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</si>
  <si>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</si>
  <si>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</si>
  <si>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</si>
  <si>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</si>
  <si>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</si>
  <si>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</si>
  <si>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</si>
  <si>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</si>
  <si>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</si>
  <si>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</si>
  <si>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</si>
  <si>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</si>
  <si>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</si>
  <si>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</si>
  <si>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</si>
  <si>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</si>
  <si>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</si>
  <si>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</si>
  <si>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</si>
  <si>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</si>
  <si>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</si>
  <si>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</si>
  <si>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</si>
  <si>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</si>
  <si>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</si>
  <si>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</si>
  <si>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</si>
  <si>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</si>
  <si>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</si>
  <si>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</si>
  <si>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</si>
  <si>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</si>
  <si>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</si>
  <si>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</si>
  <si>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</si>
  <si>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</si>
  <si>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</si>
  <si>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</si>
  <si>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</si>
  <si>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</si>
  <si>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</si>
  <si>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</si>
  <si>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</si>
  <si>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</si>
  <si>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</si>
  <si>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</si>
  <si>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</si>
  <si>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</si>
  <si>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</si>
  <si>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</si>
  <si>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</si>
  <si>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</si>
  <si>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</si>
  <si>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</si>
  <si>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</si>
  <si>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</si>
  <si>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</si>
  <si>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</si>
  <si>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</si>
  <si>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</si>
  <si>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</si>
  <si>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</si>
  <si>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</si>
  <si>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</si>
  <si>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</si>
  <si>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</si>
  <si>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</si>
  <si>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</si>
  <si>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</si>
  <si>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</si>
  <si>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</si>
  <si>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</si>
  <si>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</si>
  <si>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</si>
  <si>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</si>
  <si>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</si>
  <si>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</si>
  <si>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</si>
  <si>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</si>
  <si>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</si>
  <si>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</si>
  <si>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</si>
  <si>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</si>
  <si>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</si>
  <si>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</si>
  <si>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</si>
  <si>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</si>
  <si>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</si>
  <si>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</si>
  <si>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</si>
  <si>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</si>
  <si>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</si>
  <si>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</si>
  <si>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</si>
  <si>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</si>
  <si>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</si>
  <si>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</si>
  <si>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</si>
  <si>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</si>
  <si>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</si>
  <si>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</si>
  <si>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</si>
  <si>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</si>
  <si>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</si>
  <si>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</si>
  <si>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</si>
  <si>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</si>
  <si>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</si>
  <si>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</si>
  <si>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</si>
  <si>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</si>
  <si>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</si>
  <si>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</si>
  <si>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</si>
  <si>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</si>
  <si>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</si>
  <si>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</si>
  <si>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</si>
  <si>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</si>
  <si>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</si>
  <si>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</si>
  <si>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</si>
  <si>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</si>
  <si>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</si>
  <si>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</si>
  <si>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</si>
  <si>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</si>
  <si>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</si>
  <si>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</si>
  <si>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</si>
  <si>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</si>
  <si>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</si>
  <si>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</si>
  <si>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</si>
  <si>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</si>
  <si>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</si>
  <si>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</si>
  <si>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</si>
  <si>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</si>
  <si>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</si>
  <si>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</si>
  <si>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</si>
  <si>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</si>
  <si>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</si>
  <si>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</si>
  <si>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</si>
  <si>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</si>
  <si>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</si>
  <si>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</si>
  <si>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</si>
  <si>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</si>
  <si>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</si>
  <si>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</si>
  <si>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</si>
  <si>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</si>
  <si>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</si>
  <si>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</si>
  <si>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</si>
  <si>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</si>
  <si>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</si>
  <si>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</si>
  <si>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</si>
  <si>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</si>
  <si>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</si>
  <si>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</si>
  <si>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</si>
  <si>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</si>
  <si>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</si>
  <si>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</si>
  <si>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</si>
  <si>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</si>
  <si>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</si>
  <si>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</si>
  <si>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</si>
  <si>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</si>
  <si>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</si>
  <si>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</si>
  <si>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</si>
  <si>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</si>
  <si>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</si>
  <si>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</si>
  <si>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</si>
  <si>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</si>
  <si>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</si>
  <si>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</si>
  <si>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</si>
  <si>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</si>
  <si>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</si>
  <si>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</si>
  <si>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</si>
  <si>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</si>
  <si>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</si>
  <si>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</si>
  <si>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</si>
  <si>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</si>
  <si>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</si>
  <si>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</si>
  <si>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</si>
  <si>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</si>
  <si>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</si>
  <si>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</si>
  <si>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</si>
  <si>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</si>
  <si>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</si>
  <si>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</si>
  <si>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</si>
  <si>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</si>
  <si>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</si>
  <si>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</si>
  <si>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</si>
  <si>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</si>
  <si>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</si>
  <si>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</si>
  <si>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</si>
  <si>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</si>
  <si>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</si>
  <si>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</si>
  <si>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</si>
  <si>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</si>
  <si>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</si>
  <si>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</si>
  <si>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</si>
  <si>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</si>
  <si>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</si>
  <si>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</si>
  <si>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</si>
  <si>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</si>
  <si>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</si>
  <si>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</si>
  <si>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</si>
  <si>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</si>
  <si>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</si>
  <si>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</si>
  <si>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</si>
  <si>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</si>
  <si>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</si>
  <si>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</si>
  <si>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</si>
  <si>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</si>
  <si>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</si>
  <si>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</si>
  <si>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</si>
  <si>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</si>
  <si>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</si>
  <si>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</si>
  <si>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</si>
  <si>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</si>
  <si>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</si>
  <si>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</si>
  <si>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</si>
  <si>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</si>
  <si>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</si>
  <si>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</si>
  <si>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</si>
  <si>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</si>
  <si>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</si>
  <si>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</si>
  <si>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</si>
  <si>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</si>
  <si>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</si>
  <si>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</si>
  <si>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</si>
  <si>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</si>
  <si>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</si>
  <si>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</si>
  <si>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</si>
  <si>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</si>
  <si>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</si>
  <si>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</si>
  <si>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</si>
  <si>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</si>
  <si>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</si>
  <si>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</si>
  <si>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</si>
  <si>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</si>
  <si>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</si>
  <si>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</si>
  <si>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</si>
  <si>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</si>
  <si>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</si>
  <si>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</si>
  <si>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</si>
  <si>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</si>
  <si>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</si>
  <si>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</si>
  <si>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</si>
  <si>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</si>
  <si>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</si>
  <si>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</si>
  <si>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</si>
  <si>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</si>
  <si>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</si>
  <si>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</si>
  <si>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</si>
  <si>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</si>
  <si>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</si>
  <si>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</si>
  <si>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</si>
  <si>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</si>
  <si>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</si>
  <si>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</si>
  <si>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</si>
  <si>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</si>
  <si>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</si>
  <si>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</si>
  <si>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</si>
  <si>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</si>
  <si>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</si>
  <si>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</si>
  <si>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</si>
  <si>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</si>
  <si>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</si>
  <si>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</si>
  <si>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</si>
  <si>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</si>
  <si>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</si>
  <si>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</si>
  <si>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</si>
  <si>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</si>
  <si>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</si>
  <si>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</si>
  <si>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</si>
  <si>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</si>
  <si>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</si>
  <si>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</si>
  <si>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</si>
  <si>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</si>
  <si>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</si>
  <si>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</si>
  <si>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</si>
  <si>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</si>
  <si>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</si>
  <si>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</si>
  <si>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</si>
  <si>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</si>
  <si>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</si>
  <si>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</si>
  <si>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</si>
  <si>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</si>
  <si>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</si>
  <si>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</si>
  <si>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</si>
  <si>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</si>
  <si>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</si>
  <si>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</si>
  <si>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</si>
  <si>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</si>
  <si>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</si>
  <si>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</si>
  <si>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</si>
  <si>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</si>
  <si>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</si>
  <si>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</si>
  <si>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</si>
  <si>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</si>
  <si>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</si>
  <si>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</si>
  <si>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</si>
  <si>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</si>
  <si>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</si>
  <si>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</si>
  <si>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</si>
  <si>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</si>
  <si>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</si>
  <si>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</si>
  <si>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</si>
  <si>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</si>
  <si>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</si>
  <si>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</si>
  <si>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</si>
  <si>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</si>
  <si>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</si>
  <si>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</si>
  <si>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</si>
  <si>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</si>
  <si>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</si>
  <si>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</si>
  <si>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</si>
  <si>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</si>
  <si>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</si>
  <si>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</si>
  <si>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</si>
  <si>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</si>
  <si>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</si>
  <si>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</si>
  <si>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</si>
  <si>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</si>
  <si>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</si>
  <si>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</si>
  <si>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</si>
  <si>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</si>
  <si>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</si>
  <si>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</si>
  <si>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</si>
  <si>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</si>
  <si>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</si>
  <si>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</si>
  <si>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</si>
  <si>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</si>
  <si>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</si>
  <si>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</si>
  <si>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</si>
  <si>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</si>
  <si>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</si>
  <si>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</si>
  <si>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</si>
  <si>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</si>
  <si>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</si>
  <si>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</si>
  <si>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</si>
  <si>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</si>
  <si>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</si>
  <si>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</si>
  <si>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</si>
  <si>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</si>
  <si>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</si>
  <si>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</si>
  <si>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</si>
  <si>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</si>
  <si>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</si>
  <si>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</si>
  <si>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</si>
  <si>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</si>
  <si>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</si>
  <si>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</si>
  <si>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</si>
  <si>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</si>
  <si>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</si>
  <si>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</si>
  <si>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</si>
  <si>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</si>
  <si>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</si>
  <si>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</si>
  <si>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</si>
  <si>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</si>
  <si>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</si>
  <si>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</si>
  <si>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</si>
  <si>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</si>
  <si>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</si>
  <si>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</si>
  <si>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</si>
  <si>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</si>
  <si>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</si>
  <si>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</si>
  <si>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</si>
  <si>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</si>
  <si>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</si>
  <si>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</si>
  <si>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</si>
  <si>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</si>
  <si>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</si>
  <si>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</si>
  <si>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</si>
  <si>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</si>
  <si>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</si>
  <si>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</si>
  <si>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</si>
  <si>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</si>
  <si>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</si>
  <si>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</si>
  <si>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</si>
  <si>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</si>
  <si>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</si>
  <si>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</si>
  <si>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</si>
  <si>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</si>
  <si>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</si>
  <si>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</si>
  <si>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</si>
  <si>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</si>
  <si>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</si>
  <si>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</si>
  <si>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</si>
  <si>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</si>
  <si>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</si>
  <si>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</si>
  <si>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</si>
  <si>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</si>
  <si>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</si>
  <si>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</si>
  <si>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</si>
  <si>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</si>
  <si>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</si>
  <si>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</si>
  <si>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</si>
  <si>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</si>
  <si>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</si>
  <si>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</si>
  <si>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</si>
  <si>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</si>
  <si>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</si>
  <si>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</si>
  <si>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</si>
  <si>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</si>
  <si>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</si>
  <si>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</si>
  <si>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</si>
  <si>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</si>
  <si>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</si>
  <si>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</si>
  <si>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</si>
  <si>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</si>
  <si>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</si>
  <si>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</si>
  <si>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</si>
  <si>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</si>
  <si>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</si>
  <si>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</si>
  <si>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</si>
  <si>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</si>
  <si>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</si>
  <si>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</si>
  <si>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</si>
  <si>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</si>
  <si>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</si>
  <si>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</si>
  <si>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</si>
  <si>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</si>
  <si>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</si>
  <si>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</si>
  <si>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</si>
  <si>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</si>
  <si>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</si>
  <si>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</si>
  <si>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</si>
  <si>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</si>
  <si>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</si>
  <si>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</si>
  <si>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</si>
  <si>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</si>
  <si>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</si>
  <si>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</si>
  <si>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</si>
  <si>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</si>
  <si>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</si>
  <si>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</si>
  <si>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</si>
  <si>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</si>
  <si>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</si>
  <si>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</si>
  <si>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</si>
  <si>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</si>
  <si>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</si>
  <si>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</si>
  <si>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</si>
  <si>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</si>
  <si>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</si>
  <si>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</si>
  <si>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</si>
  <si>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</si>
  <si>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</si>
  <si>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</si>
  <si>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</si>
  <si>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</si>
  <si>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</si>
  <si>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</si>
  <si>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</si>
  <si>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</si>
  <si>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</si>
  <si>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</si>
  <si>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</si>
  <si>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</si>
  <si>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</si>
  <si>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</si>
  <si>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</si>
  <si>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</si>
  <si>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</si>
  <si>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</si>
  <si>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</si>
  <si>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</si>
  <si>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</si>
  <si>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</si>
  <si>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</si>
  <si>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</si>
  <si>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</si>
  <si>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</si>
  <si>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</si>
  <si>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</si>
  <si>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</si>
  <si>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</si>
  <si>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</si>
  <si>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</si>
  <si>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</si>
  <si>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</si>
  <si>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</si>
  <si>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</si>
  <si>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</si>
  <si>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</si>
  <si>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</si>
  <si>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</si>
  <si>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</si>
  <si>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</si>
  <si>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</si>
  <si>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</si>
  <si>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</si>
  <si>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</si>
  <si>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</si>
  <si>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</si>
  <si>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</si>
  <si>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</si>
  <si>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</si>
  <si>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</si>
  <si>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</si>
  <si>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</si>
  <si>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</si>
  <si>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</si>
  <si>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</si>
  <si>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</si>
  <si>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</si>
  <si>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</si>
  <si>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</si>
  <si>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</si>
  <si>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</si>
  <si>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</si>
  <si>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</si>
  <si>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</si>
  <si>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</si>
  <si>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</si>
  <si>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</si>
  <si>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</si>
  <si>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</si>
  <si>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</si>
  <si>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</si>
  <si>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</si>
  <si>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</si>
  <si>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</si>
  <si>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</si>
  <si>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</si>
  <si>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</si>
  <si>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</si>
  <si>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</si>
  <si>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</si>
  <si>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</si>
  <si>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</si>
  <si>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</si>
  <si>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</si>
  <si>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</si>
  <si>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</si>
  <si>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</si>
  <si>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</si>
  <si>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</si>
  <si>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</si>
  <si>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</si>
  <si>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</si>
  <si>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</si>
  <si>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</si>
  <si>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</si>
  <si>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</si>
  <si>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</si>
  <si>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</si>
  <si>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</si>
  <si>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</si>
  <si>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</si>
  <si>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</si>
  <si>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</si>
  <si>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</si>
  <si>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</si>
  <si>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</si>
  <si>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</si>
  <si>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</si>
  <si>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</si>
  <si>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</si>
  <si>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</si>
  <si>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</si>
  <si>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</si>
  <si>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</si>
  <si>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</si>
  <si>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</si>
  <si>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</si>
  <si>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</si>
  <si>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</si>
  <si>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</si>
  <si>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</si>
  <si>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</si>
  <si>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</si>
  <si>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</si>
  <si>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</si>
  <si>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</si>
  <si>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</si>
  <si>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</si>
  <si>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</si>
  <si>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</si>
  <si>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</si>
  <si>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</si>
  <si>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</si>
  <si>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</si>
  <si>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</si>
  <si>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</si>
  <si>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</si>
  <si>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</si>
  <si>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</si>
  <si>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</si>
  <si>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</si>
  <si>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</si>
  <si>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</si>
  <si>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</si>
  <si>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</si>
  <si>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</si>
  <si>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</si>
  <si>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</si>
  <si>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</si>
  <si>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</si>
  <si>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</si>
  <si>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</si>
  <si>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</si>
  <si>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</si>
  <si>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</si>
  <si>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</si>
  <si>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</si>
  <si>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</si>
  <si>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</si>
  <si>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</si>
  <si>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</si>
  <si>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</si>
  <si>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</si>
  <si>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</si>
  <si>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</si>
  <si>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</si>
  <si>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</si>
  <si>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</si>
  <si>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</si>
  <si>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</si>
  <si>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</si>
  <si>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</si>
  <si>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</si>
  <si>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</si>
  <si>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</si>
  <si>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</si>
  <si>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</si>
  <si>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</si>
  <si>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</si>
  <si>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</si>
  <si>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</si>
  <si>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</si>
  <si>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</si>
  <si>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</si>
  <si>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</si>
  <si>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</si>
  <si>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</si>
  <si>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</si>
  <si>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</si>
  <si>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</si>
  <si>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</si>
  <si>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</si>
  <si>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</si>
  <si>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</si>
  <si>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</si>
  <si>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</si>
  <si>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</si>
  <si>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</si>
  <si>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</si>
  <si>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</si>
  <si>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</si>
  <si>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</si>
  <si>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</si>
  <si>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</si>
  <si>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</si>
  <si>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</si>
  <si>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</si>
  <si>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</si>
  <si>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</si>
  <si>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</si>
  <si>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</si>
  <si>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</si>
  <si>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</si>
  <si>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</si>
  <si>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</si>
  <si>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</si>
  <si>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</si>
  <si>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</si>
  <si>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</si>
  <si>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</si>
  <si>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</si>
  <si>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</si>
  <si>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</si>
  <si>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</si>
  <si>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</si>
  <si>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</si>
  <si>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</si>
  <si>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</si>
  <si>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</si>
  <si>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</si>
  <si>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</si>
  <si>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</si>
  <si>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</si>
  <si>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</si>
  <si>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</si>
  <si>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</si>
  <si>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</si>
  <si>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</si>
  <si>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</si>
  <si>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</si>
  <si>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</si>
  <si>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</si>
  <si>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</si>
  <si>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</si>
  <si>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</si>
  <si>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</si>
  <si>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</si>
  <si>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</si>
  <si>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</si>
  <si>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</si>
  <si>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</si>
  <si>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</si>
  <si>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</si>
  <si>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</si>
  <si>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</si>
  <si>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</si>
  <si>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</si>
  <si>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</si>
  <si>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</si>
  <si>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</si>
  <si>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</si>
  <si>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</si>
  <si>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</si>
  <si>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</si>
  <si>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</si>
  <si>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</si>
  <si>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</si>
  <si>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</si>
  <si>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</si>
  <si>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</si>
  <si>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</si>
  <si>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</si>
  <si>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</si>
  <si>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</si>
  <si>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</si>
  <si>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</si>
  <si>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</si>
  <si>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</si>
  <si>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</si>
  <si>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</si>
  <si>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</si>
  <si>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</si>
  <si>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</si>
  <si>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</si>
  <si>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</si>
  <si>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</si>
  <si>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</si>
  <si>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</si>
  <si>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</si>
  <si>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</si>
  <si>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</si>
  <si>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</si>
  <si>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</si>
  <si>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</si>
  <si>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</si>
  <si>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</si>
  <si>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</si>
  <si>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</si>
  <si>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</si>
  <si>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</si>
  <si>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</si>
  <si>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</si>
  <si>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</si>
  <si>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</si>
  <si>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</si>
  <si>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</si>
  <si>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</si>
  <si>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</si>
  <si>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</si>
  <si>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</si>
  <si>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</si>
  <si>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</si>
  <si>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</si>
  <si>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</si>
  <si>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</si>
  <si>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</si>
  <si>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</si>
  <si>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</si>
  <si>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</si>
  <si>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</si>
  <si>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</si>
  <si>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</si>
  <si>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</si>
  <si>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</si>
  <si>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</si>
  <si>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</si>
  <si>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</si>
  <si>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</si>
  <si>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</si>
  <si>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</si>
  <si>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</si>
  <si>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</si>
  <si>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</si>
  <si>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</si>
  <si>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</si>
  <si>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</si>
  <si>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</si>
  <si>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</si>
  <si>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</si>
  <si>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</si>
  <si>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</si>
  <si>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</si>
  <si>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</si>
  <si>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</si>
  <si>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</si>
  <si>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</si>
  <si>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</si>
  <si>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</si>
  <si>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</si>
  <si>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</si>
  <si>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</si>
  <si>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</si>
  <si>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</si>
  <si>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</si>
  <si>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</si>
  <si>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</si>
  <si>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</si>
  <si>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</si>
  <si>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</si>
  <si>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</si>
  <si>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</si>
  <si>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</si>
  <si>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</si>
  <si>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</si>
  <si>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</si>
  <si>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</si>
  <si>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</si>
  <si>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</si>
  <si>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</si>
  <si>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</si>
  <si>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</si>
  <si>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</si>
  <si>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</si>
  <si>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</si>
  <si>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</si>
  <si>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</si>
  <si>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</si>
  <si>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</si>
  <si>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</si>
  <si>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</si>
  <si>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</si>
  <si>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</si>
  <si>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</si>
  <si>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</si>
  <si>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</si>
  <si>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</si>
  <si>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</si>
  <si>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</si>
  <si>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</si>
  <si>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</si>
  <si>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</si>
  <si>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</si>
  <si>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</si>
  <si>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</si>
  <si>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</si>
  <si>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</si>
  <si>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</si>
  <si>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</si>
  <si>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</si>
  <si>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</si>
  <si>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</si>
  <si>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</si>
  <si>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</si>
  <si>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</si>
  <si>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</si>
  <si>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</si>
  <si>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</si>
  <si>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</si>
  <si>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</si>
  <si>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</si>
  <si>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</si>
  <si>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</si>
  <si>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</si>
  <si>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</si>
  <si>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</si>
  <si>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</si>
  <si>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</si>
  <si>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</si>
  <si>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</si>
  <si>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</si>
  <si>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</si>
  <si>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</si>
  <si>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</si>
  <si>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</si>
  <si>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</si>
  <si>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</si>
  <si>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</si>
  <si>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</si>
  <si>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</si>
  <si>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</si>
  <si>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</si>
  <si>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</si>
  <si>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</si>
  <si>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</si>
  <si>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</si>
  <si>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</si>
  <si>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</si>
  <si>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</si>
  <si>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</si>
  <si>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</si>
  <si>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</si>
  <si>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</si>
  <si>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</si>
  <si>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</si>
  <si>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</si>
  <si>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</si>
  <si>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</si>
  <si>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</si>
  <si>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</si>
  <si>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</si>
  <si>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</si>
  <si>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</si>
  <si>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</si>
  <si>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</si>
  <si>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</si>
  <si>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</si>
  <si>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</si>
  <si>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</si>
  <si>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</si>
  <si>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</si>
  <si>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</si>
  <si>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</si>
  <si>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</si>
  <si>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</si>
  <si>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</si>
  <si>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</si>
  <si>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</si>
  <si>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</si>
  <si>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</si>
  <si>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</si>
  <si>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</si>
  <si>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</si>
  <si>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</si>
  <si>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</si>
  <si>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</si>
  <si>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</si>
  <si>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</si>
  <si>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</si>
  <si>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</si>
  <si>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</si>
  <si>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</si>
  <si>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</si>
  <si>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</si>
  <si>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</si>
  <si>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</si>
  <si>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</si>
  <si>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</si>
  <si>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</si>
  <si>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</si>
  <si>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</si>
  <si>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</si>
  <si>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</si>
  <si>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</si>
  <si>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</si>
  <si>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</si>
  <si>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</si>
  <si>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</si>
  <si>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</si>
  <si>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</si>
  <si>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</si>
  <si>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</si>
  <si>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</si>
  <si>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</si>
  <si>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</si>
  <si>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</si>
  <si>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</si>
  <si>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</si>
  <si>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</si>
  <si>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</si>
  <si>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</si>
  <si>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</si>
  <si>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</si>
  <si>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</si>
  <si>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</si>
  <si>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</si>
  <si>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</si>
  <si>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</si>
  <si>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</si>
  <si>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</si>
  <si>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</si>
  <si>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</si>
  <si>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</si>
  <si>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</si>
  <si>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</si>
  <si>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</si>
  <si>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</si>
  <si>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</si>
  <si>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</si>
  <si>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</si>
  <si>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</si>
  <si>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</si>
  <si>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</si>
  <si>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</si>
  <si>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</si>
  <si>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</si>
  <si>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</si>
  <si>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</si>
  <si>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</si>
  <si>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</si>
  <si>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</si>
  <si>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</si>
  <si>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</si>
  <si>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</si>
  <si>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</si>
  <si>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</si>
  <si>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</si>
  <si>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</si>
  <si>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</si>
  <si>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</si>
  <si>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</si>
  <si>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</si>
  <si>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</si>
  <si>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</si>
  <si>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</si>
  <si>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</si>
  <si>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</si>
  <si>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</si>
  <si>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</si>
  <si>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</si>
  <si>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</si>
  <si>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</si>
  <si>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</si>
  <si>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</si>
  <si>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</si>
  <si>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</si>
  <si>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</si>
  <si>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</si>
  <si>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</si>
  <si>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</si>
  <si>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</si>
  <si>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</si>
  <si>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</si>
  <si>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</si>
  <si>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</si>
  <si>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</si>
  <si>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</si>
  <si>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</si>
  <si>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</si>
  <si>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</si>
  <si>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</si>
  <si>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</si>
  <si>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</si>
  <si>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</si>
  <si>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</si>
  <si>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</si>
  <si>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</si>
  <si>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</si>
  <si>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</si>
  <si>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</si>
  <si>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</si>
  <si>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</si>
  <si>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</si>
  <si>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</si>
  <si>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</si>
  <si>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</si>
  <si>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</si>
  <si>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</si>
  <si>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</si>
  <si>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</si>
  <si>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</si>
  <si>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</si>
  <si>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</si>
  <si>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</si>
  <si>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</si>
  <si>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</si>
  <si>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</si>
  <si>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</si>
  <si>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</si>
  <si>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</si>
  <si>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</si>
  <si>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</si>
  <si>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</si>
  <si>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</si>
  <si>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</si>
  <si>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</si>
  <si>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</si>
  <si>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</si>
  <si>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</si>
  <si>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</si>
  <si>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</si>
  <si>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</si>
  <si>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</si>
  <si>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</si>
  <si>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</si>
  <si>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</si>
  <si>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</si>
  <si>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</si>
  <si>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</si>
  <si>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</si>
  <si>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</si>
  <si>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</si>
  <si>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</si>
  <si>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</si>
  <si>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</si>
  <si>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</si>
  <si>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</si>
  <si>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</si>
  <si>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</si>
  <si>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</si>
  <si>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</si>
  <si>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</si>
  <si>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</si>
  <si>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</si>
  <si>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</si>
  <si>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</si>
  <si>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</si>
  <si>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</si>
  <si>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</si>
  <si>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</si>
  <si>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</si>
  <si>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</si>
  <si>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</si>
  <si>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</si>
  <si>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</si>
  <si>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</si>
  <si>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</si>
  <si>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</si>
  <si>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</si>
  <si>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</si>
  <si>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</si>
  <si>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</si>
  <si>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</si>
  <si>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</si>
  <si>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</si>
  <si>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</si>
  <si>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</si>
  <si>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</si>
  <si>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</si>
  <si>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</si>
  <si>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</si>
  <si>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</si>
  <si>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</si>
  <si>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</si>
  <si>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</si>
  <si>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</si>
  <si>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</si>
  <si>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</si>
  <si>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</si>
  <si>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</si>
  <si>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</si>
  <si>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</si>
  <si>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</si>
  <si>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</si>
  <si>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</si>
  <si>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</si>
  <si>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</si>
  <si>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</si>
  <si>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</si>
  <si>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</si>
  <si>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</si>
  <si>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</si>
  <si>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</si>
  <si>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</si>
  <si>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</si>
  <si>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</si>
  <si>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</si>
  <si>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</si>
  <si>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</si>
  <si>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</si>
  <si>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</si>
  <si>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</si>
  <si>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</si>
  <si>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</si>
  <si>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</si>
  <si>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</si>
  <si>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</si>
  <si>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</si>
  <si>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</si>
  <si>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</si>
  <si>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</si>
  <si>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</si>
  <si>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</si>
  <si>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</si>
  <si>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</si>
  <si>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</si>
  <si>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</si>
  <si>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</si>
  <si>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</si>
  <si>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</si>
  <si>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</si>
  <si>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</si>
  <si>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</si>
  <si>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</si>
  <si>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</si>
  <si>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</si>
  <si>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</si>
  <si>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</si>
  <si>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</si>
  <si>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</si>
  <si>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</si>
  <si>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</si>
  <si>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</si>
  <si>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</si>
  <si>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</si>
  <si>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</si>
  <si>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</si>
  <si>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</si>
  <si>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</si>
  <si>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</si>
  <si>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</si>
  <si>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</si>
  <si>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</si>
  <si>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</si>
  <si>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</si>
  <si>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</si>
  <si>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</si>
  <si>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</si>
  <si>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</si>
  <si>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</si>
  <si>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</si>
  <si>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</si>
  <si>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</si>
  <si>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</si>
  <si>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</si>
  <si>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</si>
  <si>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</si>
  <si>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</si>
  <si>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</si>
  <si>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</si>
  <si>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</si>
  <si>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</si>
  <si>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</si>
  <si>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</si>
  <si>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</si>
  <si>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</si>
  <si>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</si>
  <si>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</si>
  <si>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</si>
  <si>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</si>
  <si>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</si>
  <si>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</si>
  <si>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</si>
  <si>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</si>
  <si>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</si>
  <si>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</si>
  <si>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</si>
  <si>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</si>
  <si>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</si>
  <si>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</si>
  <si>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</si>
  <si>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</si>
  <si>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</si>
  <si>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</si>
  <si>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</si>
  <si>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</si>
  <si>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</si>
  <si>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</si>
  <si>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</si>
  <si>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</si>
  <si>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</si>
  <si>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</si>
  <si>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</si>
  <si>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</si>
  <si>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</si>
  <si>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</si>
  <si>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</si>
  <si>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</si>
  <si>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</si>
  <si>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</si>
  <si>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</si>
  <si>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</si>
  <si>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</si>
  <si>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</si>
  <si>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</si>
  <si>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</si>
  <si>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</si>
  <si>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</si>
  <si>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</si>
  <si>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</si>
  <si>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</si>
  <si>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</si>
  <si>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</si>
  <si>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</si>
  <si>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</si>
  <si>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</si>
  <si>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</si>
  <si>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</si>
  <si>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</si>
  <si>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</si>
  <si>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</si>
  <si>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</si>
  <si>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</si>
  <si>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</si>
  <si>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</si>
  <si>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</si>
  <si>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</si>
  <si>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</si>
  <si>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</si>
  <si>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</si>
  <si>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</si>
  <si>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</si>
  <si>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</si>
  <si>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</si>
  <si>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</si>
  <si>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</si>
  <si>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</si>
  <si>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</si>
  <si>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</si>
  <si>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</si>
  <si>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</si>
  <si>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</si>
  <si>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</si>
  <si>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</si>
  <si>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</si>
  <si>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</si>
  <si>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</si>
  <si>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</si>
  <si>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</si>
  <si>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</si>
  <si>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</si>
  <si>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</si>
  <si>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</si>
  <si>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</si>
  <si>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</si>
  <si>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</si>
  <si>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</si>
  <si>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</si>
  <si>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</si>
  <si>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</si>
  <si>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</si>
  <si>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</si>
  <si>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</si>
  <si>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</si>
  <si>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</si>
  <si>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</si>
  <si>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</si>
  <si>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</si>
  <si>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</si>
  <si>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</si>
  <si>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</si>
  <si>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</si>
  <si>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</si>
  <si>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</si>
  <si>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</si>
  <si>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</si>
  <si>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</si>
  <si>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</si>
  <si>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</si>
  <si>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</si>
  <si>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</si>
  <si>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</si>
  <si>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</si>
  <si>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</si>
  <si>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</si>
  <si>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</si>
  <si>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</si>
  <si>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</si>
  <si>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</si>
  <si>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</si>
  <si>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</si>
  <si>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</si>
  <si>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</si>
  <si>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</si>
  <si>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</si>
  <si>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</si>
  <si>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</si>
  <si>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</si>
  <si>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</si>
  <si>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</si>
  <si>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</si>
  <si>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</si>
  <si>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</si>
  <si>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</si>
  <si>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</si>
  <si>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</si>
  <si>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</si>
  <si>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</si>
  <si>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</si>
  <si>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</si>
  <si>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</si>
  <si>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</si>
  <si>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</si>
  <si>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</si>
  <si>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</si>
  <si>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</si>
  <si>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</si>
  <si>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</si>
  <si>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</si>
  <si>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</si>
  <si>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</si>
  <si>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</si>
  <si>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</si>
  <si>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</si>
  <si>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</si>
  <si>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</si>
  <si>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</si>
  <si>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</si>
  <si>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</si>
  <si>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</si>
  <si>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</si>
  <si>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</si>
  <si>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</si>
  <si>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</si>
  <si>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</si>
  <si>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</si>
  <si>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</si>
  <si>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</si>
  <si>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</si>
  <si>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</si>
  <si>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</si>
  <si>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</si>
  <si>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</si>
  <si>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</si>
  <si>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</si>
  <si>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</si>
  <si>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</si>
  <si>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</si>
  <si>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</si>
  <si>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</si>
  <si>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</si>
  <si>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</si>
  <si>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</si>
  <si>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</si>
  <si>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</si>
  <si>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</si>
  <si>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</si>
  <si>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</si>
  <si>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</si>
  <si>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</si>
  <si>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</si>
  <si>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</si>
  <si>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</si>
  <si>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</si>
  <si>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</si>
  <si>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</si>
  <si>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</si>
  <si>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</si>
  <si>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</si>
  <si>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</si>
  <si>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</si>
  <si>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</si>
  <si>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</si>
  <si>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</si>
  <si>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</si>
  <si>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</si>
  <si>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</si>
  <si>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</si>
  <si>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</si>
  <si>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</si>
  <si>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</si>
  <si>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</si>
  <si>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</si>
  <si>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</si>
  <si>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</si>
  <si>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</si>
  <si>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</si>
  <si>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</si>
  <si>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</si>
  <si>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</si>
  <si>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</si>
  <si>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</si>
  <si>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</si>
  <si>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</si>
  <si>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</si>
  <si>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</si>
  <si>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</si>
  <si>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</si>
  <si>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</si>
  <si>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</si>
  <si>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</si>
  <si>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</si>
  <si>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</si>
  <si>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</si>
  <si>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</si>
  <si>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</si>
  <si>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</si>
  <si>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</si>
  <si>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</si>
  <si>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</si>
  <si>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</si>
  <si>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</si>
  <si>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</si>
  <si>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</si>
  <si>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</si>
  <si>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</si>
  <si>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</si>
  <si>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</si>
  <si>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</si>
  <si>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</si>
  <si>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</si>
  <si>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</si>
  <si>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</si>
  <si>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</si>
  <si>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</si>
  <si>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</si>
  <si>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</si>
  <si>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</si>
  <si>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</si>
  <si>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</si>
  <si>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</si>
  <si>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</si>
  <si>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</si>
  <si>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</si>
  <si>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</si>
  <si>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</si>
  <si>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</si>
  <si>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</si>
  <si>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</si>
  <si>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</si>
  <si>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</si>
  <si>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</si>
  <si>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</si>
  <si>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</si>
  <si>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</si>
  <si>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</si>
  <si>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</si>
  <si>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</si>
  <si>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</si>
  <si>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</si>
  <si>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</si>
  <si>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</si>
  <si>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</si>
  <si>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</si>
  <si>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</si>
  <si>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</si>
  <si>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</si>
  <si>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</si>
  <si>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</si>
  <si>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</si>
  <si>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</si>
  <si>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</si>
  <si>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</si>
  <si>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</si>
  <si>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</si>
  <si>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</si>
  <si>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</si>
  <si>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</si>
  <si>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</si>
  <si>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</si>
  <si>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</si>
  <si>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</si>
  <si>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</si>
  <si>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</si>
  <si>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</si>
  <si>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</si>
  <si>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</si>
  <si>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</si>
  <si>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</si>
  <si>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</si>
  <si>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</si>
  <si>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</si>
  <si>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</si>
  <si>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</si>
  <si>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</si>
  <si>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</si>
  <si>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</si>
  <si>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</si>
  <si>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</si>
  <si>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</si>
  <si>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</si>
  <si>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</si>
  <si>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</si>
  <si>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</si>
  <si>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</si>
  <si>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</si>
  <si>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</si>
  <si>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</si>
  <si>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</si>
  <si>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</si>
  <si>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</si>
  <si>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</si>
  <si>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</si>
  <si>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</si>
  <si>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</si>
  <si>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</si>
  <si>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</si>
  <si>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</si>
  <si>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</si>
  <si>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</si>
  <si>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</si>
  <si>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</si>
  <si>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</si>
  <si>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</si>
  <si>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</si>
  <si>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</si>
  <si>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</si>
  <si>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</si>
  <si>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</si>
  <si>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</si>
  <si>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</si>
  <si>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</si>
  <si>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</si>
  <si>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</si>
  <si>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</si>
  <si>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</si>
  <si>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</si>
  <si>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</si>
  <si>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</si>
  <si>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</si>
  <si>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</si>
  <si>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</si>
  <si>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</si>
  <si>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</si>
  <si>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</si>
  <si>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</si>
  <si>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</si>
  <si>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</si>
  <si>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</si>
  <si>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</si>
  <si>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</si>
  <si>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</si>
  <si>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</si>
  <si>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</si>
  <si>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</si>
  <si>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</si>
  <si>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</si>
  <si>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</si>
  <si>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</si>
  <si>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</si>
  <si>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</si>
  <si>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</si>
  <si>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</si>
  <si>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</si>
  <si>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</si>
  <si>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</si>
  <si>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</si>
  <si>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</si>
  <si>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</si>
  <si>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</si>
  <si>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</si>
  <si>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</si>
  <si>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</si>
  <si>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</si>
  <si>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</si>
  <si>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</si>
  <si>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</si>
  <si>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</si>
  <si>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</si>
  <si>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</si>
  <si>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</si>
  <si>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</si>
  <si>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</si>
  <si>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</si>
  <si>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</si>
  <si>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</si>
  <si>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</si>
  <si>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</si>
  <si>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</si>
  <si>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</si>
  <si>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</si>
  <si>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</si>
  <si>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</si>
  <si>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</si>
  <si>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</si>
  <si>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</si>
  <si>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</si>
  <si>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</si>
  <si>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</si>
  <si>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</si>
  <si>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</si>
  <si>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</si>
  <si>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</si>
  <si>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</si>
  <si>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</si>
  <si>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</si>
  <si>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</si>
  <si>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</si>
  <si>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</si>
  <si>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</si>
  <si>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</si>
  <si>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</si>
  <si>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</si>
  <si>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</si>
  <si>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</si>
  <si>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</si>
  <si>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</si>
  <si>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</si>
  <si>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</si>
  <si>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</si>
  <si>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</si>
  <si>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</si>
  <si>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</si>
  <si>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</si>
  <si>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</si>
  <si>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</si>
  <si>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</si>
  <si>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</si>
  <si>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</si>
  <si>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</si>
  <si>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</si>
  <si>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</si>
  <si>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</si>
  <si>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</si>
  <si>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</si>
  <si>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</si>
  <si>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</si>
  <si>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</si>
  <si>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</si>
  <si>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</si>
  <si>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</si>
  <si>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</si>
  <si>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</si>
  <si>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</si>
  <si>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</si>
  <si>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</si>
  <si>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</si>
  <si>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</si>
  <si>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</si>
  <si>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</si>
  <si>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</si>
  <si>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</si>
  <si>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</si>
  <si>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</si>
  <si>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</si>
  <si>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</si>
  <si>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</si>
  <si>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</si>
  <si>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</si>
  <si>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</si>
  <si>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</si>
  <si>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</si>
  <si>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</si>
  <si>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</si>
  <si>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</si>
  <si>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</si>
  <si>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</si>
  <si>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</si>
  <si>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</si>
  <si>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</si>
  <si>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</si>
  <si>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</si>
  <si>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</si>
  <si>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</si>
  <si>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</si>
  <si>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</si>
  <si>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</si>
  <si>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</si>
  <si>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</si>
  <si>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</si>
  <si>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</si>
  <si>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</si>
  <si>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</si>
  <si>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</si>
  <si>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</si>
  <si>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</si>
  <si>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</si>
  <si>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</si>
  <si>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</si>
  <si>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</si>
  <si>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</si>
  <si>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</si>
  <si>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</si>
  <si>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</si>
  <si>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</si>
  <si>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</si>
  <si>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</si>
  <si>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</si>
  <si>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</si>
  <si>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</si>
  <si>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</si>
  <si>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</si>
  <si>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</si>
  <si>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</si>
  <si>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</si>
  <si>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</si>
  <si>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</si>
  <si>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</si>
  <si>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</si>
  <si>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</si>
  <si>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</si>
  <si>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</si>
  <si>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</si>
  <si>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</si>
  <si>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</si>
  <si>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</si>
  <si>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</si>
  <si>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</si>
  <si>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</si>
  <si>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</si>
  <si>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</si>
  <si>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</si>
  <si>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</si>
  <si>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</si>
  <si>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</si>
  <si>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</si>
  <si>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</si>
  <si>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</si>
  <si>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</si>
  <si>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</si>
  <si>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</si>
  <si>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</si>
  <si>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</si>
  <si>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</si>
  <si>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</si>
  <si>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</si>
  <si>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</si>
  <si>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</si>
  <si>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</si>
  <si>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</si>
  <si>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</si>
  <si>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</si>
  <si>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</si>
  <si>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</si>
  <si>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</si>
  <si>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</si>
  <si>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</si>
  <si>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</si>
  <si>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</si>
  <si>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</si>
  <si>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</si>
  <si>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</si>
  <si>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</si>
  <si>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</si>
  <si>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</si>
  <si>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</si>
  <si>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</si>
  <si>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</si>
  <si>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</si>
  <si>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</si>
  <si>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</si>
  <si>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</si>
  <si>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</si>
  <si>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</si>
  <si>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</si>
  <si>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</si>
  <si>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</si>
  <si>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</si>
  <si>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</si>
  <si>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</si>
  <si>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</si>
  <si>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</si>
  <si>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</si>
  <si>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</si>
  <si>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</si>
  <si>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</si>
  <si>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</si>
  <si>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</si>
  <si>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</si>
  <si>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</si>
  <si>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</si>
  <si>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</si>
  <si>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</si>
  <si>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</si>
  <si>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</si>
  <si>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</si>
  <si>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</si>
  <si>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</si>
  <si>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</si>
  <si>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</si>
  <si>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</si>
  <si>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</si>
  <si>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</si>
  <si>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</si>
  <si>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</si>
  <si>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</si>
  <si>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</si>
  <si>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</si>
  <si>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</si>
  <si>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</si>
  <si>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</si>
  <si>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</si>
  <si>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</si>
  <si>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</si>
  <si>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</si>
  <si>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</si>
  <si>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</si>
  <si>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</si>
  <si>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</si>
  <si>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</si>
  <si>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</si>
  <si>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</si>
  <si>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</si>
  <si>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</si>
  <si>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</si>
  <si>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</si>
  <si>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</si>
  <si>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</si>
  <si>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</si>
  <si>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</si>
  <si>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</si>
  <si>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</si>
  <si>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</si>
  <si>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</si>
  <si>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</si>
  <si>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</si>
  <si>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</si>
  <si>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</si>
  <si>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</si>
  <si>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</si>
  <si>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</si>
  <si>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</si>
  <si>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</si>
  <si>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</si>
  <si>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</si>
  <si>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</si>
  <si>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</si>
  <si>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</si>
  <si>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</si>
  <si>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</si>
  <si>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</si>
  <si>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</si>
  <si>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</si>
  <si>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</si>
  <si>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</si>
  <si>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</si>
  <si>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</si>
  <si>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</si>
  <si>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</si>
  <si>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</si>
  <si>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</si>
  <si>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</si>
  <si>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</si>
  <si>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</si>
  <si>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</si>
  <si>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</si>
  <si>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</si>
  <si>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</si>
  <si>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</si>
  <si>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</si>
  <si>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</si>
  <si>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</si>
  <si>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</si>
  <si>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</si>
  <si>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</si>
  <si>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</si>
  <si>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</si>
  <si>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</si>
  <si>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</si>
  <si>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</si>
  <si>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</si>
  <si>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</si>
  <si>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</si>
  <si>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</si>
  <si>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</si>
  <si>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</si>
  <si>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</si>
  <si>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</si>
  <si>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</si>
  <si>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</si>
  <si>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</si>
  <si>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</si>
  <si>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</si>
  <si>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</si>
  <si>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</si>
  <si>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</si>
  <si>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</si>
  <si>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</si>
  <si>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</si>
  <si>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</si>
  <si>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</si>
  <si>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</si>
  <si>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</si>
  <si>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</si>
  <si>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</si>
  <si>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</si>
  <si>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</si>
  <si>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</si>
  <si>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</si>
  <si>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</si>
  <si>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</si>
  <si>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</si>
  <si>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</si>
  <si>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</si>
  <si>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</si>
  <si>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</si>
  <si>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</si>
  <si>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</si>
  <si>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</si>
  <si>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</si>
  <si>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</si>
  <si>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</si>
  <si>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</si>
  <si>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</si>
  <si>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</si>
  <si>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</si>
  <si>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</si>
  <si>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</si>
  <si>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</si>
  <si>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</si>
  <si>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</si>
  <si>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</si>
  <si>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</si>
  <si>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</si>
  <si>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</si>
  <si>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</si>
  <si>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</si>
  <si>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</si>
  <si>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</si>
  <si>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</si>
  <si>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</si>
  <si>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</si>
  <si>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</si>
  <si>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</si>
  <si>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</si>
  <si>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</si>
  <si>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</si>
  <si>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</si>
  <si>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</si>
  <si>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</si>
  <si>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</si>
  <si>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</si>
  <si>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</si>
  <si>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</si>
  <si>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</si>
  <si>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</si>
  <si>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</si>
  <si>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</si>
  <si>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</si>
  <si>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</si>
  <si>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</si>
  <si>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</si>
  <si>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</si>
  <si>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</si>
  <si>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</si>
  <si>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</si>
  <si>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</si>
  <si>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</si>
  <si>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</si>
  <si>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</si>
  <si>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</si>
  <si>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</si>
  <si>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</si>
  <si>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</si>
  <si>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</si>
  <si>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</si>
  <si>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</si>
  <si>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</si>
  <si>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</si>
  <si>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</si>
  <si>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</si>
  <si>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</si>
  <si>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</si>
  <si>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</si>
  <si>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</si>
  <si>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</si>
  <si>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</si>
  <si>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</si>
  <si>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</si>
  <si>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</si>
  <si>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</si>
  <si>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</si>
  <si>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</si>
  <si>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</si>
  <si>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</si>
  <si>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</si>
  <si>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</si>
  <si>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</si>
  <si>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</si>
  <si>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</si>
  <si>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</si>
  <si>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</si>
  <si>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</si>
  <si>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</si>
  <si>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</si>
  <si>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</si>
  <si>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</si>
  <si>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</si>
  <si>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</si>
  <si>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</si>
  <si>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</si>
  <si>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</si>
  <si>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</si>
  <si>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وبانک 347 تا 290.3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</si>
  <si>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</si>
  <si>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</si>
  <si>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</si>
  <si>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</si>
  <si>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</si>
  <si>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</si>
  <si>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</si>
  <si>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</si>
  <si>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</si>
  <si>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</si>
  <si>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</si>
  <si>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</si>
  <si>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</si>
  <si>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</si>
  <si>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</si>
  <si>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</si>
  <si>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</si>
  <si>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خرید پارس با توجه به سبد محصول و فروش داخلی و خارجی 10/11/97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</si>
  <si>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</si>
  <si>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</si>
  <si>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</si>
  <si>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</si>
  <si>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</si>
  <si>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</si>
  <si>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</si>
  <si>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</si>
  <si>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</si>
  <si>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</si>
  <si>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</si>
  <si>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</si>
  <si>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</si>
  <si>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</si>
  <si>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</si>
  <si>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</si>
  <si>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</si>
  <si>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</si>
  <si>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</si>
  <si>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</si>
  <si>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</si>
  <si>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</si>
  <si>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</si>
  <si>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</si>
  <si>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</si>
  <si>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</si>
  <si>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</si>
  <si>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</si>
  <si>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</si>
  <si>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</si>
  <si>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</si>
  <si>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</si>
  <si>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</si>
  <si>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</si>
  <si>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</si>
  <si>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</si>
  <si>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</si>
  <si>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بدهی به سارا 24/11/97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</si>
  <si>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</si>
  <si>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</si>
  <si>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</si>
  <si>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</si>
  <si>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</si>
  <si>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</si>
  <si>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</si>
  <si>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</si>
  <si>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سخوز</t>
  </si>
  <si>
    <t>سخوز 2388 تا 411.2</t>
  </si>
  <si>
    <t>شفن 2865 تا 4500.5</t>
  </si>
  <si>
    <t xml:space="preserve">24/11/1397 </t>
  </si>
  <si>
    <t>تعداد سکه باقیمانده (3 تا دست مریم، 45 تا بورس مریم، 5 تا دست سارا،  19 تا بورس علی)</t>
  </si>
  <si>
    <t>زفکا</t>
  </si>
  <si>
    <t>زفکا 173 تا 830</t>
  </si>
  <si>
    <t>بدهی به رضا حسین زاده بابت گوشی 1/11/97</t>
  </si>
  <si>
    <t>بابت گوشی به رضا حسین زاده</t>
  </si>
  <si>
    <t>27/11/1397</t>
  </si>
  <si>
    <t>45+13</t>
  </si>
  <si>
    <t>مریم قرض به سارا</t>
  </si>
  <si>
    <t>مانده فروش 5 عدد سکه در بورس مریم</t>
  </si>
  <si>
    <t>مبین ، پارس کم کردن میانگین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</si>
</sst>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5" borderId="1" xfId="0" applyFill="1" applyBorder="1" applyAlignment="1">
      <alignment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4590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28" workbookViewId="0">
      <selection activeCell="E59" sqref="E59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4651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4662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4662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4678</v>
      </c>
      <c r="B5" s="18">
        <v>-200000</v>
      </c>
      <c r="C5" s="18">
        <v>0</v>
      </c>
      <c r="D5" s="113">
        <f t="shared" si="0"/>
        <v>-200000</v>
      </c>
      <c r="E5" s="20" t="s">
        <v>4675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4690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4696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4696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4696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4696</v>
      </c>
      <c r="B10" s="18">
        <v>-51400</v>
      </c>
      <c r="C10" s="18">
        <v>0</v>
      </c>
      <c r="D10" s="113">
        <f t="shared" si="0"/>
        <v>-51400</v>
      </c>
      <c r="E10" s="19" t="s">
        <v>4703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4706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4706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4740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4740</v>
      </c>
      <c r="B14" s="18">
        <v>-80000</v>
      </c>
      <c r="C14" s="18">
        <v>0</v>
      </c>
      <c r="D14" s="113">
        <f t="shared" si="0"/>
        <v>-80000</v>
      </c>
      <c r="E14" s="20" t="s">
        <v>1135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4740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4748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4764</v>
      </c>
      <c r="B17" s="18">
        <v>-1000</v>
      </c>
      <c r="C17" s="18">
        <v>0</v>
      </c>
      <c r="D17" s="113">
        <f t="shared" si="0"/>
        <v>-1000</v>
      </c>
      <c r="E17" s="20" t="s">
        <v>3771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4771</v>
      </c>
      <c r="B18" s="18">
        <v>250000</v>
      </c>
      <c r="C18" s="18">
        <v>0</v>
      </c>
      <c r="D18" s="113">
        <f t="shared" si="0"/>
        <v>250000</v>
      </c>
      <c r="E18" s="20" t="s">
        <v>3892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4771</v>
      </c>
      <c r="B19" s="18">
        <v>-55120</v>
      </c>
      <c r="C19" s="18">
        <v>0</v>
      </c>
      <c r="D19" s="113">
        <f t="shared" si="0"/>
        <v>-55120</v>
      </c>
      <c r="E19" s="20" t="s">
        <v>4015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4786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4774</v>
      </c>
      <c r="B21" s="18">
        <v>-214549</v>
      </c>
      <c r="C21" s="18">
        <v>0</v>
      </c>
      <c r="D21" s="113">
        <f t="shared" si="0"/>
        <v>-214549</v>
      </c>
      <c r="E21" s="19" t="s">
        <v>3928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4776</v>
      </c>
      <c r="B22" s="18">
        <v>-324747</v>
      </c>
      <c r="C22" s="18">
        <v>0</v>
      </c>
      <c r="D22" s="113">
        <f t="shared" si="0"/>
        <v>-324747</v>
      </c>
      <c r="E22" s="19" t="s">
        <v>4787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4630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4640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4645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4645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4651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522406</v>
      </c>
      <c r="C32" s="113">
        <f>SUM(C2:C31)</f>
        <v>0</v>
      </c>
      <c r="D32" s="113">
        <f>SUM(D2:D31)</f>
        <v>522406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20086131</v>
      </c>
      <c r="H33" s="18">
        <f>SUM(H2:H31)</f>
        <v>0</v>
      </c>
      <c r="I33" s="18">
        <f>SUM(I2:I31)</f>
        <v>20086131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4671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4700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4701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4702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4703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4718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4746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4749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4773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4783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4784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4785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4788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4798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f>SUM(D38:D59)</f>
        <v>850416</v>
      </c>
      <c r="E60" s="96" t="s">
        <v>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 t="s">
        <v>25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96"/>
      <c r="E62" s="96" t="s">
        <v>25</v>
      </c>
    </row>
    <row r="63" spans="1:19">
      <c r="D63" s="96"/>
      <c r="E63" s="96" t="s">
        <v>25</v>
      </c>
    </row>
    <row r="64" spans="1:19">
      <c r="D64" s="96"/>
      <c r="E6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3" activePane="bottomLeft" state="frozen"/>
      <selection pane="bottomLeft" activeCell="F313" sqref="F31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1039</v>
      </c>
      <c r="H2" s="36">
        <f>IF(B2&gt;0,1,0)</f>
        <v>1</v>
      </c>
      <c r="I2" s="11">
        <f>B2*(G2-H2)</f>
        <v>17334600</v>
      </c>
      <c r="J2" s="53">
        <f>C2*(G2-H2)</f>
        <v>17334600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1038</v>
      </c>
      <c r="H3" s="36">
        <f t="shared" ref="H3:H66" si="2">IF(B3&gt;0,1,0)</f>
        <v>1</v>
      </c>
      <c r="I3" s="11">
        <f t="shared" ref="I3:I66" si="3">B3*(G3-H3)</f>
        <v>20636300000</v>
      </c>
      <c r="J3" s="53">
        <f t="shared" ref="J3:J66" si="4">C3*(G3-H3)</f>
        <v>11808319000</v>
      </c>
      <c r="K3" s="53">
        <f t="shared" ref="K3:K66" si="5">D3*(G3-H3)</f>
        <v>8827981000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1038</v>
      </c>
      <c r="H4" s="36">
        <f t="shared" si="2"/>
        <v>0</v>
      </c>
      <c r="I4" s="11">
        <f t="shared" si="3"/>
        <v>0</v>
      </c>
      <c r="J4" s="53">
        <f t="shared" si="4"/>
        <v>8823000</v>
      </c>
      <c r="K4" s="53">
        <f t="shared" si="5"/>
        <v>-8823000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1036</v>
      </c>
      <c r="H5" s="36">
        <f t="shared" si="2"/>
        <v>1</v>
      </c>
      <c r="I5" s="11">
        <f t="shared" si="3"/>
        <v>2070000000</v>
      </c>
      <c r="J5" s="53">
        <f t="shared" si="4"/>
        <v>0</v>
      </c>
      <c r="K5" s="53">
        <f t="shared" si="5"/>
        <v>2070000000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1029</v>
      </c>
      <c r="H6" s="36">
        <f t="shared" si="2"/>
        <v>0</v>
      </c>
      <c r="I6" s="11">
        <f t="shared" si="3"/>
        <v>-5145000</v>
      </c>
      <c r="J6" s="53">
        <f t="shared" si="4"/>
        <v>0</v>
      </c>
      <c r="K6" s="53">
        <f t="shared" si="5"/>
        <v>-5145000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1025</v>
      </c>
      <c r="H7" s="36">
        <f t="shared" si="2"/>
        <v>0</v>
      </c>
      <c r="I7" s="11">
        <f t="shared" si="3"/>
        <v>-1230512500</v>
      </c>
      <c r="J7" s="53">
        <f t="shared" si="4"/>
        <v>0</v>
      </c>
      <c r="K7" s="53">
        <f t="shared" si="5"/>
        <v>-1230512500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1024</v>
      </c>
      <c r="H8" s="36">
        <f t="shared" si="2"/>
        <v>0</v>
      </c>
      <c r="I8" s="11">
        <f t="shared" si="3"/>
        <v>-204800000</v>
      </c>
      <c r="J8" s="53">
        <f t="shared" si="4"/>
        <v>0</v>
      </c>
      <c r="K8" s="53">
        <f t="shared" si="5"/>
        <v>-204800000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1022</v>
      </c>
      <c r="H9" s="36">
        <f t="shared" si="2"/>
        <v>0</v>
      </c>
      <c r="I9" s="11">
        <f t="shared" si="3"/>
        <v>-721021000</v>
      </c>
      <c r="J9" s="53">
        <f t="shared" si="4"/>
        <v>0</v>
      </c>
      <c r="K9" s="53">
        <f t="shared" si="5"/>
        <v>-721021000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1013</v>
      </c>
      <c r="H10" s="36">
        <f t="shared" si="2"/>
        <v>0</v>
      </c>
      <c r="I10" s="11">
        <f t="shared" si="3"/>
        <v>-202600000</v>
      </c>
      <c r="J10" s="53">
        <f t="shared" si="4"/>
        <v>0</v>
      </c>
      <c r="K10" s="53">
        <f t="shared" si="5"/>
        <v>-202600000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1013</v>
      </c>
      <c r="H11" s="36">
        <f t="shared" si="2"/>
        <v>1</v>
      </c>
      <c r="I11" s="11">
        <f t="shared" si="3"/>
        <v>1012000000</v>
      </c>
      <c r="J11" s="53">
        <f t="shared" si="4"/>
        <v>0</v>
      </c>
      <c r="K11" s="53">
        <f t="shared" si="5"/>
        <v>1012000000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1009</v>
      </c>
      <c r="H12" s="36">
        <f t="shared" si="2"/>
        <v>0</v>
      </c>
      <c r="I12" s="11">
        <f t="shared" si="3"/>
        <v>-302700000</v>
      </c>
      <c r="J12" s="53">
        <f t="shared" si="4"/>
        <v>0</v>
      </c>
      <c r="K12" s="53">
        <f t="shared" si="5"/>
        <v>-302700000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1004</v>
      </c>
      <c r="H13" s="36">
        <f t="shared" si="2"/>
        <v>0</v>
      </c>
      <c r="I13" s="11">
        <f t="shared" si="3"/>
        <v>-62248000</v>
      </c>
      <c r="J13" s="53">
        <f t="shared" si="4"/>
        <v>0</v>
      </c>
      <c r="K13" s="53">
        <f t="shared" si="5"/>
        <v>-62248000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1004</v>
      </c>
      <c r="H14" s="36">
        <f t="shared" si="2"/>
        <v>1</v>
      </c>
      <c r="I14" s="11">
        <f t="shared" si="3"/>
        <v>2006000000</v>
      </c>
      <c r="J14" s="53">
        <f t="shared" si="4"/>
        <v>0</v>
      </c>
      <c r="K14" s="53">
        <f t="shared" si="5"/>
        <v>2006000000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1003</v>
      </c>
      <c r="H15" s="36">
        <f t="shared" si="2"/>
        <v>1</v>
      </c>
      <c r="I15" s="11">
        <f t="shared" si="3"/>
        <v>1803600000</v>
      </c>
      <c r="J15" s="53">
        <f t="shared" si="4"/>
        <v>0</v>
      </c>
      <c r="K15" s="53">
        <f t="shared" si="5"/>
        <v>1803600000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1003</v>
      </c>
      <c r="H16" s="36">
        <f t="shared" si="2"/>
        <v>0</v>
      </c>
      <c r="I16" s="11">
        <f t="shared" si="3"/>
        <v>-200600000</v>
      </c>
      <c r="J16" s="53">
        <f t="shared" si="4"/>
        <v>0</v>
      </c>
      <c r="K16" s="53">
        <f t="shared" si="5"/>
        <v>-200600000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999</v>
      </c>
      <c r="H17" s="36">
        <f t="shared" si="2"/>
        <v>0</v>
      </c>
      <c r="I17" s="11">
        <f t="shared" si="3"/>
        <v>-1998000000</v>
      </c>
      <c r="J17" s="53">
        <f t="shared" si="4"/>
        <v>0</v>
      </c>
      <c r="K17" s="53">
        <f t="shared" si="5"/>
        <v>-1998000000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998</v>
      </c>
      <c r="H18" s="36">
        <f t="shared" si="2"/>
        <v>0</v>
      </c>
      <c r="I18" s="11">
        <f t="shared" si="3"/>
        <v>-299400000</v>
      </c>
      <c r="J18" s="53">
        <f t="shared" si="4"/>
        <v>0</v>
      </c>
      <c r="K18" s="53">
        <f t="shared" si="5"/>
        <v>-299400000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997</v>
      </c>
      <c r="H19" s="36">
        <f t="shared" si="2"/>
        <v>0</v>
      </c>
      <c r="I19" s="11">
        <f t="shared" si="3"/>
        <v>-199400000</v>
      </c>
      <c r="J19" s="53">
        <f t="shared" si="4"/>
        <v>0</v>
      </c>
      <c r="K19" s="53">
        <f t="shared" si="5"/>
        <v>-199400000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995</v>
      </c>
      <c r="H20" s="36">
        <f t="shared" si="2"/>
        <v>1</v>
      </c>
      <c r="I20" s="11">
        <f t="shared" si="3"/>
        <v>269462466</v>
      </c>
      <c r="J20" s="53">
        <f t="shared" si="4"/>
        <v>146567288</v>
      </c>
      <c r="K20" s="53">
        <f t="shared" si="5"/>
        <v>122895178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993</v>
      </c>
      <c r="H21" s="36">
        <f t="shared" si="2"/>
        <v>0</v>
      </c>
      <c r="I21" s="11">
        <f t="shared" si="3"/>
        <v>-1495160100</v>
      </c>
      <c r="J21" s="53">
        <f t="shared" si="4"/>
        <v>0</v>
      </c>
      <c r="K21" s="53">
        <f t="shared" si="5"/>
        <v>-1495160100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990</v>
      </c>
      <c r="H22" s="36">
        <f t="shared" si="2"/>
        <v>1</v>
      </c>
      <c r="I22" s="11">
        <f t="shared" si="3"/>
        <v>2967000000</v>
      </c>
      <c r="J22" s="53">
        <f t="shared" si="4"/>
        <v>0</v>
      </c>
      <c r="K22" s="53">
        <f t="shared" si="5"/>
        <v>2967000000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989</v>
      </c>
      <c r="H23" s="36">
        <f t="shared" si="2"/>
        <v>1</v>
      </c>
      <c r="I23" s="11">
        <f t="shared" si="3"/>
        <v>988000000</v>
      </c>
      <c r="J23" s="53">
        <f t="shared" si="4"/>
        <v>0</v>
      </c>
      <c r="K23" s="53">
        <f t="shared" si="5"/>
        <v>988000000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988</v>
      </c>
      <c r="H24" s="36">
        <f t="shared" si="2"/>
        <v>0</v>
      </c>
      <c r="I24" s="11">
        <f t="shared" si="3"/>
        <v>-2964889200</v>
      </c>
      <c r="J24" s="53">
        <f t="shared" si="4"/>
        <v>0</v>
      </c>
      <c r="K24" s="53">
        <f t="shared" si="5"/>
        <v>-2964889200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973</v>
      </c>
      <c r="H25" s="36">
        <f t="shared" si="2"/>
        <v>1</v>
      </c>
      <c r="I25" s="11">
        <f t="shared" si="3"/>
        <v>1458000000</v>
      </c>
      <c r="J25" s="53">
        <f t="shared" si="4"/>
        <v>0</v>
      </c>
      <c r="K25" s="53">
        <f t="shared" si="5"/>
        <v>1458000000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965</v>
      </c>
      <c r="H26" s="36">
        <f t="shared" si="2"/>
        <v>0</v>
      </c>
      <c r="I26" s="11">
        <f t="shared" si="3"/>
        <v>-158260000</v>
      </c>
      <c r="J26" s="53">
        <f t="shared" si="4"/>
        <v>0</v>
      </c>
      <c r="K26" s="53">
        <f t="shared" si="5"/>
        <v>-158260000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964</v>
      </c>
      <c r="H27" s="36">
        <f t="shared" si="2"/>
        <v>1</v>
      </c>
      <c r="I27" s="11">
        <f t="shared" si="3"/>
        <v>192015459</v>
      </c>
      <c r="J27" s="53">
        <f t="shared" si="4"/>
        <v>103438719</v>
      </c>
      <c r="K27" s="53">
        <f t="shared" si="5"/>
        <v>88576740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962</v>
      </c>
      <c r="H28" s="36">
        <f t="shared" si="2"/>
        <v>0</v>
      </c>
      <c r="I28" s="11">
        <f t="shared" si="3"/>
        <v>-212602000</v>
      </c>
      <c r="J28" s="53">
        <f t="shared" si="4"/>
        <v>-212602000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962</v>
      </c>
      <c r="H29" s="36">
        <f t="shared" si="2"/>
        <v>0</v>
      </c>
      <c r="I29" s="11">
        <f t="shared" si="3"/>
        <v>-481481000</v>
      </c>
      <c r="J29" s="53">
        <f t="shared" si="4"/>
        <v>0</v>
      </c>
      <c r="K29" s="53">
        <f t="shared" si="5"/>
        <v>-481481000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962</v>
      </c>
      <c r="H30" s="36">
        <f t="shared" si="2"/>
        <v>0</v>
      </c>
      <c r="I30" s="11">
        <f t="shared" si="3"/>
        <v>-14430000000</v>
      </c>
      <c r="J30" s="53">
        <f t="shared" si="4"/>
        <v>-14430000000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945</v>
      </c>
      <c r="H31" s="36">
        <f t="shared" si="2"/>
        <v>0</v>
      </c>
      <c r="I31" s="11">
        <f t="shared" si="3"/>
        <v>-2845300500</v>
      </c>
      <c r="J31" s="53">
        <f t="shared" si="4"/>
        <v>0</v>
      </c>
      <c r="K31" s="53">
        <f t="shared" si="5"/>
        <v>-2845300500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943</v>
      </c>
      <c r="H32" s="36">
        <f t="shared" si="2"/>
        <v>0</v>
      </c>
      <c r="I32" s="11">
        <f t="shared" si="3"/>
        <v>-2834563700</v>
      </c>
      <c r="J32" s="53">
        <f t="shared" si="4"/>
        <v>0</v>
      </c>
      <c r="K32" s="53">
        <f t="shared" si="5"/>
        <v>-2834563700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942</v>
      </c>
      <c r="H33" s="36">
        <f t="shared" si="2"/>
        <v>0</v>
      </c>
      <c r="I33" s="11">
        <f t="shared" si="3"/>
        <v>-843561000</v>
      </c>
      <c r="J33" s="53">
        <f t="shared" si="4"/>
        <v>0</v>
      </c>
      <c r="K33" s="53">
        <f t="shared" si="5"/>
        <v>-843561000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942</v>
      </c>
      <c r="H34" s="36">
        <f t="shared" si="2"/>
        <v>0</v>
      </c>
      <c r="I34" s="11">
        <f t="shared" si="3"/>
        <v>0</v>
      </c>
      <c r="J34" s="53">
        <f t="shared" si="4"/>
        <v>942000000</v>
      </c>
      <c r="K34" s="53">
        <f t="shared" si="5"/>
        <v>-942000000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933</v>
      </c>
      <c r="H35" s="36">
        <f t="shared" si="2"/>
        <v>1</v>
      </c>
      <c r="I35" s="11">
        <f t="shared" si="3"/>
        <v>48903904</v>
      </c>
      <c r="J35" s="53">
        <f t="shared" si="4"/>
        <v>-20189916</v>
      </c>
      <c r="K35" s="53">
        <f t="shared" si="5"/>
        <v>69093820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933</v>
      </c>
      <c r="H36" s="36">
        <f t="shared" si="2"/>
        <v>0</v>
      </c>
      <c r="I36" s="11">
        <f t="shared" si="3"/>
        <v>0</v>
      </c>
      <c r="J36" s="53">
        <f t="shared" si="4"/>
        <v>20211579</v>
      </c>
      <c r="K36" s="53">
        <f t="shared" si="5"/>
        <v>-20211579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923</v>
      </c>
      <c r="H37" s="36">
        <f t="shared" si="2"/>
        <v>0</v>
      </c>
      <c r="I37" s="11">
        <f t="shared" si="3"/>
        <v>-50765000</v>
      </c>
      <c r="J37" s="53">
        <f t="shared" si="4"/>
        <v>0</v>
      </c>
      <c r="K37" s="53">
        <f t="shared" si="5"/>
        <v>-50765000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922</v>
      </c>
      <c r="H38" s="36">
        <f t="shared" si="2"/>
        <v>1</v>
      </c>
      <c r="I38" s="11">
        <f t="shared" si="3"/>
        <v>2763000000</v>
      </c>
      <c r="J38" s="53">
        <f t="shared" si="4"/>
        <v>2763000000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921</v>
      </c>
      <c r="H39" s="36">
        <f t="shared" si="2"/>
        <v>1</v>
      </c>
      <c r="I39" s="11">
        <f t="shared" si="3"/>
        <v>2300000000</v>
      </c>
      <c r="J39" s="53">
        <f t="shared" si="4"/>
        <v>2300000000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921</v>
      </c>
      <c r="H40" s="36">
        <f t="shared" si="2"/>
        <v>0</v>
      </c>
      <c r="I40" s="11">
        <f t="shared" si="3"/>
        <v>-46050000</v>
      </c>
      <c r="J40" s="53">
        <f t="shared" si="4"/>
        <v>0</v>
      </c>
      <c r="K40" s="53">
        <f t="shared" si="5"/>
        <v>-46050000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921</v>
      </c>
      <c r="H41" s="36">
        <f t="shared" si="2"/>
        <v>1</v>
      </c>
      <c r="I41" s="11">
        <f t="shared" si="3"/>
        <v>2760000000</v>
      </c>
      <c r="J41" s="53">
        <f t="shared" si="4"/>
        <v>0</v>
      </c>
      <c r="K41" s="53">
        <f t="shared" si="5"/>
        <v>2760000000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918</v>
      </c>
      <c r="H42" s="36">
        <f t="shared" si="2"/>
        <v>0</v>
      </c>
      <c r="I42" s="11">
        <f t="shared" si="3"/>
        <v>-81885600</v>
      </c>
      <c r="J42" s="53">
        <f t="shared" si="4"/>
        <v>0</v>
      </c>
      <c r="K42" s="53">
        <f t="shared" si="5"/>
        <v>-81885600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914</v>
      </c>
      <c r="H43" s="36">
        <f t="shared" si="2"/>
        <v>0</v>
      </c>
      <c r="I43" s="11">
        <f t="shared" si="3"/>
        <v>-182800000</v>
      </c>
      <c r="J43" s="53">
        <f t="shared" si="4"/>
        <v>0</v>
      </c>
      <c r="K43" s="53">
        <f t="shared" si="5"/>
        <v>-182800000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912</v>
      </c>
      <c r="H44" s="36">
        <f t="shared" si="2"/>
        <v>0</v>
      </c>
      <c r="I44" s="11">
        <f t="shared" si="3"/>
        <v>-182400000</v>
      </c>
      <c r="J44" s="53">
        <f t="shared" si="4"/>
        <v>0</v>
      </c>
      <c r="K44" s="53">
        <f t="shared" si="5"/>
        <v>-182400000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912</v>
      </c>
      <c r="H45" s="36">
        <f t="shared" si="2"/>
        <v>0</v>
      </c>
      <c r="I45" s="11">
        <f t="shared" si="3"/>
        <v>-510720000</v>
      </c>
      <c r="J45" s="53">
        <f t="shared" si="4"/>
        <v>0</v>
      </c>
      <c r="K45" s="53">
        <f t="shared" si="5"/>
        <v>-510720000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908</v>
      </c>
      <c r="H46" s="36">
        <f t="shared" si="2"/>
        <v>0</v>
      </c>
      <c r="I46" s="11">
        <f t="shared" si="3"/>
        <v>-640594000</v>
      </c>
      <c r="J46" s="53">
        <f t="shared" si="4"/>
        <v>0</v>
      </c>
      <c r="K46" s="53">
        <f t="shared" si="5"/>
        <v>-640594000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902</v>
      </c>
      <c r="H47" s="36">
        <f t="shared" si="2"/>
        <v>1</v>
      </c>
      <c r="I47" s="11">
        <f t="shared" si="3"/>
        <v>37124804</v>
      </c>
      <c r="J47" s="53">
        <f t="shared" si="4"/>
        <v>6048413</v>
      </c>
      <c r="K47" s="53">
        <f t="shared" si="5"/>
        <v>31076391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902</v>
      </c>
      <c r="H48" s="36">
        <f t="shared" si="2"/>
        <v>1</v>
      </c>
      <c r="I48" s="11">
        <f t="shared" si="3"/>
        <v>1535934700</v>
      </c>
      <c r="J48" s="53">
        <f t="shared" si="4"/>
        <v>0</v>
      </c>
      <c r="K48" s="53">
        <f t="shared" si="5"/>
        <v>1535934700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893</v>
      </c>
      <c r="H49" s="36">
        <f t="shared" si="2"/>
        <v>0</v>
      </c>
      <c r="I49" s="11">
        <f t="shared" si="3"/>
        <v>-138415000</v>
      </c>
      <c r="J49" s="53">
        <f t="shared" si="4"/>
        <v>0</v>
      </c>
      <c r="K49" s="53">
        <f t="shared" si="5"/>
        <v>-138415000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893</v>
      </c>
      <c r="H50" s="36">
        <f t="shared" si="2"/>
        <v>0</v>
      </c>
      <c r="I50" s="11">
        <f t="shared" si="3"/>
        <v>-123234000</v>
      </c>
      <c r="J50" s="53">
        <f t="shared" si="4"/>
        <v>0</v>
      </c>
      <c r="K50" s="53">
        <f t="shared" si="5"/>
        <v>-123234000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893</v>
      </c>
      <c r="H51" s="36">
        <f t="shared" si="2"/>
        <v>0</v>
      </c>
      <c r="I51" s="11">
        <f t="shared" si="3"/>
        <v>-660820000</v>
      </c>
      <c r="J51" s="53">
        <f t="shared" si="4"/>
        <v>0</v>
      </c>
      <c r="K51" s="53">
        <f t="shared" si="5"/>
        <v>-660820000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893</v>
      </c>
      <c r="H52" s="36">
        <f t="shared" si="2"/>
        <v>0</v>
      </c>
      <c r="I52" s="11">
        <f t="shared" si="3"/>
        <v>-178600000</v>
      </c>
      <c r="J52" s="53">
        <f t="shared" si="4"/>
        <v>0</v>
      </c>
      <c r="K52" s="53">
        <f t="shared" si="5"/>
        <v>-178600000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892</v>
      </c>
      <c r="H53" s="36">
        <f t="shared" si="2"/>
        <v>0</v>
      </c>
      <c r="I53" s="11">
        <f t="shared" si="3"/>
        <v>-941060000</v>
      </c>
      <c r="J53" s="53">
        <f t="shared" si="4"/>
        <v>0</v>
      </c>
      <c r="K53" s="53">
        <f t="shared" si="5"/>
        <v>-941060000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892</v>
      </c>
      <c r="H54" s="36">
        <f t="shared" si="2"/>
        <v>0</v>
      </c>
      <c r="I54" s="11">
        <f t="shared" si="3"/>
        <v>-178400000</v>
      </c>
      <c r="J54" s="53">
        <f t="shared" si="4"/>
        <v>0</v>
      </c>
      <c r="K54" s="53">
        <f t="shared" si="5"/>
        <v>-178400000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892</v>
      </c>
      <c r="H55" s="36">
        <f t="shared" si="2"/>
        <v>0</v>
      </c>
      <c r="I55" s="11">
        <f t="shared" si="3"/>
        <v>-892446000</v>
      </c>
      <c r="J55" s="53">
        <f t="shared" si="4"/>
        <v>0</v>
      </c>
      <c r="K55" s="53">
        <f t="shared" si="5"/>
        <v>-892446000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892</v>
      </c>
      <c r="H56" s="36">
        <f t="shared" si="2"/>
        <v>0</v>
      </c>
      <c r="I56" s="11">
        <f t="shared" si="3"/>
        <v>-33896000</v>
      </c>
      <c r="J56" s="53">
        <f t="shared" si="4"/>
        <v>0</v>
      </c>
      <c r="K56" s="53">
        <f t="shared" si="5"/>
        <v>-33896000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892</v>
      </c>
      <c r="H57" s="36">
        <f t="shared" si="2"/>
        <v>0</v>
      </c>
      <c r="I57" s="11">
        <f t="shared" si="3"/>
        <v>-93660000</v>
      </c>
      <c r="J57" s="53">
        <f t="shared" si="4"/>
        <v>0</v>
      </c>
      <c r="K57" s="53">
        <f t="shared" si="5"/>
        <v>-93660000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892</v>
      </c>
      <c r="H58" s="36">
        <f t="shared" si="2"/>
        <v>0</v>
      </c>
      <c r="I58" s="11">
        <f t="shared" si="3"/>
        <v>-53520000</v>
      </c>
      <c r="J58" s="53">
        <f t="shared" si="4"/>
        <v>0</v>
      </c>
      <c r="K58" s="53">
        <f t="shared" si="5"/>
        <v>-53520000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889</v>
      </c>
      <c r="H59" s="36">
        <f t="shared" si="2"/>
        <v>1</v>
      </c>
      <c r="I59" s="11">
        <f t="shared" si="3"/>
        <v>888000000</v>
      </c>
      <c r="J59" s="53">
        <f t="shared" si="4"/>
        <v>888000000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888</v>
      </c>
      <c r="H60" s="36">
        <f t="shared" si="2"/>
        <v>1</v>
      </c>
      <c r="I60" s="11">
        <f t="shared" si="3"/>
        <v>3104500000</v>
      </c>
      <c r="J60" s="53">
        <f t="shared" si="4"/>
        <v>3104500000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886</v>
      </c>
      <c r="H61" s="36">
        <f t="shared" si="2"/>
        <v>1</v>
      </c>
      <c r="I61" s="11">
        <f t="shared" si="3"/>
        <v>885000000</v>
      </c>
      <c r="J61" s="53">
        <f t="shared" si="4"/>
        <v>885000000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886</v>
      </c>
      <c r="H62" s="36">
        <f t="shared" si="2"/>
        <v>1</v>
      </c>
      <c r="I62" s="11">
        <f t="shared" si="3"/>
        <v>2655000000</v>
      </c>
      <c r="J62" s="53">
        <f t="shared" si="4"/>
        <v>2655000000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884</v>
      </c>
      <c r="H63" s="36">
        <f t="shared" si="2"/>
        <v>0</v>
      </c>
      <c r="I63" s="11">
        <f t="shared" si="3"/>
        <v>-176800000</v>
      </c>
      <c r="J63" s="53">
        <f t="shared" si="4"/>
        <v>0</v>
      </c>
      <c r="K63" s="53">
        <f t="shared" si="5"/>
        <v>-176800000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879</v>
      </c>
      <c r="H64" s="36">
        <f t="shared" si="2"/>
        <v>0</v>
      </c>
      <c r="I64" s="11">
        <f t="shared" si="3"/>
        <v>-43950000</v>
      </c>
      <c r="J64" s="53">
        <f t="shared" si="4"/>
        <v>0</v>
      </c>
      <c r="K64" s="53">
        <f t="shared" si="5"/>
        <v>-43950000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875</v>
      </c>
      <c r="H65" s="36">
        <f t="shared" si="2"/>
        <v>0</v>
      </c>
      <c r="I65" s="11">
        <f t="shared" si="3"/>
        <v>-175000000</v>
      </c>
      <c r="J65" s="53">
        <f t="shared" si="4"/>
        <v>0</v>
      </c>
      <c r="K65" s="53">
        <f t="shared" si="5"/>
        <v>-175000000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872</v>
      </c>
      <c r="H66" s="36">
        <f t="shared" si="2"/>
        <v>0</v>
      </c>
      <c r="I66" s="11">
        <f t="shared" si="3"/>
        <v>-148240000</v>
      </c>
      <c r="J66" s="53">
        <f t="shared" si="4"/>
        <v>0</v>
      </c>
      <c r="K66" s="53">
        <f t="shared" si="5"/>
        <v>-148240000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871</v>
      </c>
      <c r="H67" s="36">
        <f t="shared" ref="H67:H131" si="8">IF(B67&gt;0,1,0)</f>
        <v>1</v>
      </c>
      <c r="I67" s="11">
        <f t="shared" ref="I67:I119" si="9">B67*(G67-H67)</f>
        <v>79452750</v>
      </c>
      <c r="J67" s="53">
        <f t="shared" ref="J67:J131" si="10">C67*(G67-H67)</f>
        <v>57179010</v>
      </c>
      <c r="K67" s="53">
        <f t="shared" ref="K67:K131" si="11">D67*(G67-H67)</f>
        <v>22273740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853</v>
      </c>
      <c r="H68" s="36">
        <f t="shared" si="8"/>
        <v>0</v>
      </c>
      <c r="I68" s="11">
        <f t="shared" si="9"/>
        <v>-123685000</v>
      </c>
      <c r="J68" s="53">
        <f t="shared" si="10"/>
        <v>0</v>
      </c>
      <c r="K68" s="53">
        <f t="shared" si="11"/>
        <v>-123685000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846</v>
      </c>
      <c r="H69" s="36">
        <f t="shared" si="8"/>
        <v>1</v>
      </c>
      <c r="I69" s="11">
        <f t="shared" si="9"/>
        <v>828100000</v>
      </c>
      <c r="J69" s="53">
        <f t="shared" si="10"/>
        <v>0</v>
      </c>
      <c r="K69" s="53">
        <f t="shared" si="11"/>
        <v>828100000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843</v>
      </c>
      <c r="H70" s="36">
        <f t="shared" si="8"/>
        <v>0</v>
      </c>
      <c r="I70" s="11">
        <f t="shared" si="9"/>
        <v>-38778000</v>
      </c>
      <c r="J70" s="53">
        <f t="shared" si="10"/>
        <v>0</v>
      </c>
      <c r="K70" s="53">
        <f t="shared" si="11"/>
        <v>-38778000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841</v>
      </c>
      <c r="H71" s="36">
        <f t="shared" si="8"/>
        <v>1</v>
      </c>
      <c r="I71" s="11">
        <f t="shared" si="9"/>
        <v>96883920</v>
      </c>
      <c r="J71" s="53">
        <f t="shared" si="10"/>
        <v>87202080</v>
      </c>
      <c r="K71" s="53">
        <f t="shared" si="11"/>
        <v>9681840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840</v>
      </c>
      <c r="H72" s="36">
        <f t="shared" si="8"/>
        <v>0</v>
      </c>
      <c r="I72" s="11">
        <f t="shared" si="9"/>
        <v>-127653960</v>
      </c>
      <c r="J72" s="53">
        <f t="shared" si="10"/>
        <v>0</v>
      </c>
      <c r="K72" s="53">
        <f t="shared" si="11"/>
        <v>-127653960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839</v>
      </c>
      <c r="H73" s="36">
        <f t="shared" si="8"/>
        <v>0</v>
      </c>
      <c r="I73" s="11">
        <f t="shared" si="9"/>
        <v>-675814500</v>
      </c>
      <c r="J73" s="53">
        <f t="shared" si="10"/>
        <v>0</v>
      </c>
      <c r="K73" s="53">
        <f t="shared" si="11"/>
        <v>-675814500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832</v>
      </c>
      <c r="H74" s="36">
        <f t="shared" si="8"/>
        <v>1</v>
      </c>
      <c r="I74" s="11">
        <f t="shared" si="9"/>
        <v>5812845000</v>
      </c>
      <c r="J74" s="53">
        <f t="shared" si="10"/>
        <v>0</v>
      </c>
      <c r="K74" s="53">
        <f t="shared" si="11"/>
        <v>5812845000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831</v>
      </c>
      <c r="H75" s="36">
        <f t="shared" si="8"/>
        <v>1</v>
      </c>
      <c r="I75" s="11">
        <f t="shared" si="9"/>
        <v>2490000000</v>
      </c>
      <c r="J75" s="53">
        <f t="shared" si="10"/>
        <v>0</v>
      </c>
      <c r="K75" s="53">
        <f t="shared" si="11"/>
        <v>2490000000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829</v>
      </c>
      <c r="H76" s="36">
        <f t="shared" si="8"/>
        <v>1</v>
      </c>
      <c r="I76" s="11">
        <f t="shared" si="9"/>
        <v>2484000000</v>
      </c>
      <c r="J76" s="53">
        <f t="shared" si="10"/>
        <v>0</v>
      </c>
      <c r="K76" s="53">
        <f t="shared" si="11"/>
        <v>2484000000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828</v>
      </c>
      <c r="H77" s="36">
        <f t="shared" si="8"/>
        <v>1</v>
      </c>
      <c r="I77" s="11">
        <f t="shared" si="9"/>
        <v>2481000000</v>
      </c>
      <c r="J77" s="53">
        <f t="shared" si="10"/>
        <v>0</v>
      </c>
      <c r="K77" s="53">
        <f t="shared" si="11"/>
        <v>2481000000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827</v>
      </c>
      <c r="H78" s="36">
        <f t="shared" si="8"/>
        <v>0</v>
      </c>
      <c r="I78" s="11">
        <f t="shared" si="9"/>
        <v>-2646400000</v>
      </c>
      <c r="J78" s="53">
        <f t="shared" si="10"/>
        <v>-2646400000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826</v>
      </c>
      <c r="H79" s="36">
        <f t="shared" si="8"/>
        <v>0</v>
      </c>
      <c r="I79" s="11">
        <f t="shared" si="9"/>
        <v>-660800000</v>
      </c>
      <c r="J79" s="53">
        <f t="shared" si="10"/>
        <v>-660800000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825</v>
      </c>
      <c r="H80" s="36">
        <f t="shared" si="8"/>
        <v>0</v>
      </c>
      <c r="I80" s="11">
        <f t="shared" si="9"/>
        <v>-39924225</v>
      </c>
      <c r="J80" s="53">
        <f t="shared" si="10"/>
        <v>0</v>
      </c>
      <c r="K80" s="53">
        <f t="shared" si="11"/>
        <v>-39924225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824</v>
      </c>
      <c r="H81" s="36">
        <f t="shared" si="8"/>
        <v>0</v>
      </c>
      <c r="I81" s="11">
        <f t="shared" si="9"/>
        <v>-115360000</v>
      </c>
      <c r="J81" s="53">
        <f t="shared" si="10"/>
        <v>0</v>
      </c>
      <c r="K81" s="53">
        <f t="shared" si="11"/>
        <v>-115360000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823</v>
      </c>
      <c r="H82" s="36">
        <f t="shared" si="8"/>
        <v>0</v>
      </c>
      <c r="I82" s="11">
        <f t="shared" si="9"/>
        <v>-205750000</v>
      </c>
      <c r="J82" s="53">
        <f t="shared" si="10"/>
        <v>0</v>
      </c>
      <c r="K82" s="53">
        <f t="shared" si="11"/>
        <v>-205750000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822</v>
      </c>
      <c r="H83" s="36">
        <f t="shared" si="8"/>
        <v>0</v>
      </c>
      <c r="I83" s="11">
        <f t="shared" si="9"/>
        <v>-164400000</v>
      </c>
      <c r="J83" s="53">
        <f t="shared" si="10"/>
        <v>0</v>
      </c>
      <c r="K83" s="53">
        <f t="shared" si="11"/>
        <v>-164400000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819</v>
      </c>
      <c r="H84" s="36">
        <f t="shared" si="8"/>
        <v>1</v>
      </c>
      <c r="I84" s="11">
        <f t="shared" si="9"/>
        <v>1337593600</v>
      </c>
      <c r="J84" s="53">
        <f t="shared" si="10"/>
        <v>0</v>
      </c>
      <c r="K84" s="53">
        <f t="shared" si="11"/>
        <v>1337593600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815</v>
      </c>
      <c r="H85" s="36">
        <f t="shared" si="8"/>
        <v>1</v>
      </c>
      <c r="I85" s="11">
        <f t="shared" si="9"/>
        <v>2035000000</v>
      </c>
      <c r="J85" s="53">
        <f t="shared" si="10"/>
        <v>0</v>
      </c>
      <c r="K85" s="53">
        <f t="shared" si="11"/>
        <v>2035000000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811</v>
      </c>
      <c r="H86" s="36">
        <f t="shared" si="8"/>
        <v>1</v>
      </c>
      <c r="I86" s="11">
        <f t="shared" si="9"/>
        <v>150903000</v>
      </c>
      <c r="J86" s="53">
        <f t="shared" si="10"/>
        <v>68809500</v>
      </c>
      <c r="K86" s="53">
        <f t="shared" si="11"/>
        <v>82093500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808</v>
      </c>
      <c r="H87" s="36">
        <f t="shared" si="8"/>
        <v>0</v>
      </c>
      <c r="I87" s="11">
        <f t="shared" si="9"/>
        <v>-161600000</v>
      </c>
      <c r="J87" s="53">
        <f t="shared" si="10"/>
        <v>0</v>
      </c>
      <c r="K87" s="53">
        <f t="shared" si="11"/>
        <v>-161600000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807</v>
      </c>
      <c r="H88" s="36">
        <f t="shared" si="8"/>
        <v>0</v>
      </c>
      <c r="I88" s="11">
        <f t="shared" si="9"/>
        <v>-95226000</v>
      </c>
      <c r="J88" s="53">
        <f t="shared" si="10"/>
        <v>-55683000</v>
      </c>
      <c r="K88" s="53">
        <f t="shared" si="11"/>
        <v>-39543000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799</v>
      </c>
      <c r="H89" s="36">
        <f t="shared" si="8"/>
        <v>0</v>
      </c>
      <c r="I89" s="11">
        <f t="shared" si="9"/>
        <v>-2557519100</v>
      </c>
      <c r="J89" s="53">
        <f t="shared" si="10"/>
        <v>0</v>
      </c>
      <c r="K89" s="53">
        <f t="shared" si="11"/>
        <v>-2557519100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798</v>
      </c>
      <c r="H90" s="36">
        <f t="shared" si="8"/>
        <v>0</v>
      </c>
      <c r="I90" s="11">
        <f t="shared" si="9"/>
        <v>-2554318200</v>
      </c>
      <c r="J90" s="53">
        <f t="shared" si="10"/>
        <v>0</v>
      </c>
      <c r="K90" s="53">
        <f t="shared" si="11"/>
        <v>-2554318200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797</v>
      </c>
      <c r="H91" s="36">
        <f t="shared" si="8"/>
        <v>0</v>
      </c>
      <c r="I91" s="11">
        <f t="shared" si="9"/>
        <v>-2551117300</v>
      </c>
      <c r="J91" s="53">
        <f t="shared" si="10"/>
        <v>0</v>
      </c>
      <c r="K91" s="53">
        <f t="shared" si="11"/>
        <v>-2551117300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796</v>
      </c>
      <c r="H92" s="36">
        <f t="shared" si="8"/>
        <v>0</v>
      </c>
      <c r="I92" s="11">
        <f t="shared" si="9"/>
        <v>-2547916400</v>
      </c>
      <c r="J92" s="53">
        <f t="shared" si="10"/>
        <v>0</v>
      </c>
      <c r="K92" s="53">
        <f t="shared" si="11"/>
        <v>-2547916400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795</v>
      </c>
      <c r="H93" s="36">
        <f t="shared" si="8"/>
        <v>0</v>
      </c>
      <c r="I93" s="11">
        <f t="shared" si="9"/>
        <v>-2544715500</v>
      </c>
      <c r="J93" s="53">
        <f t="shared" si="10"/>
        <v>0</v>
      </c>
      <c r="K93" s="53">
        <f t="shared" si="11"/>
        <v>-2544715500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794</v>
      </c>
      <c r="H94" s="36">
        <f t="shared" si="8"/>
        <v>0</v>
      </c>
      <c r="I94" s="11">
        <f t="shared" si="9"/>
        <v>-2541514600</v>
      </c>
      <c r="J94" s="53">
        <f t="shared" si="10"/>
        <v>0</v>
      </c>
      <c r="K94" s="53">
        <f t="shared" si="11"/>
        <v>-2541514600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792</v>
      </c>
      <c r="H95" s="36">
        <f t="shared" si="8"/>
        <v>0</v>
      </c>
      <c r="I95" s="11">
        <f t="shared" si="9"/>
        <v>-947704032</v>
      </c>
      <c r="J95" s="53">
        <f t="shared" si="10"/>
        <v>0</v>
      </c>
      <c r="K95" s="53">
        <f t="shared" si="11"/>
        <v>-947704032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782</v>
      </c>
      <c r="H96" s="36">
        <f t="shared" si="8"/>
        <v>0</v>
      </c>
      <c r="I96" s="11">
        <f t="shared" si="9"/>
        <v>-156400000</v>
      </c>
      <c r="J96" s="53">
        <f t="shared" si="10"/>
        <v>0</v>
      </c>
      <c r="K96" s="53">
        <f t="shared" si="11"/>
        <v>-156400000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781</v>
      </c>
      <c r="H97" s="36">
        <f t="shared" si="8"/>
        <v>1</v>
      </c>
      <c r="I97" s="11">
        <f t="shared" si="9"/>
        <v>124455240</v>
      </c>
      <c r="J97" s="53">
        <f t="shared" si="10"/>
        <v>53762280</v>
      </c>
      <c r="K97" s="53">
        <f t="shared" si="11"/>
        <v>70692960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776</v>
      </c>
      <c r="H98" s="36">
        <f t="shared" si="8"/>
        <v>1</v>
      </c>
      <c r="I98" s="11">
        <f t="shared" si="9"/>
        <v>88635200</v>
      </c>
      <c r="J98" s="53">
        <f t="shared" si="10"/>
        <v>0</v>
      </c>
      <c r="K98" s="53">
        <f t="shared" si="11"/>
        <v>88635200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773</v>
      </c>
      <c r="H99" s="36">
        <f t="shared" si="8"/>
        <v>0</v>
      </c>
      <c r="I99" s="11">
        <f t="shared" si="9"/>
        <v>-1024225000</v>
      </c>
      <c r="J99" s="53">
        <f t="shared" si="10"/>
        <v>0</v>
      </c>
      <c r="K99" s="53">
        <f t="shared" si="11"/>
        <v>-1024225000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768</v>
      </c>
      <c r="H100" s="36">
        <f t="shared" si="8"/>
        <v>1</v>
      </c>
      <c r="I100" s="11">
        <f t="shared" si="9"/>
        <v>1016275000</v>
      </c>
      <c r="J100" s="53">
        <f t="shared" si="10"/>
        <v>0</v>
      </c>
      <c r="K100" s="53">
        <f t="shared" si="11"/>
        <v>1016275000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751</v>
      </c>
      <c r="H101" s="36">
        <f t="shared" si="8"/>
        <v>1</v>
      </c>
      <c r="I101" s="11">
        <f t="shared" si="9"/>
        <v>50133750</v>
      </c>
      <c r="J101" s="53">
        <f t="shared" si="10"/>
        <v>50133750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748</v>
      </c>
      <c r="H102" s="36">
        <f t="shared" si="8"/>
        <v>1</v>
      </c>
      <c r="I102" s="11">
        <f t="shared" si="9"/>
        <v>2241000000</v>
      </c>
      <c r="J102" s="53">
        <f t="shared" si="10"/>
        <v>0</v>
      </c>
      <c r="K102" s="53">
        <f t="shared" si="11"/>
        <v>2241000000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741</v>
      </c>
      <c r="H103" s="36">
        <f t="shared" si="8"/>
        <v>0</v>
      </c>
      <c r="I103" s="11">
        <f t="shared" si="9"/>
        <v>-741000000</v>
      </c>
      <c r="J103" s="53">
        <f t="shared" si="10"/>
        <v>-741000000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731</v>
      </c>
      <c r="H104" s="36">
        <f t="shared" si="8"/>
        <v>1</v>
      </c>
      <c r="I104" s="11">
        <f t="shared" si="9"/>
        <v>2190000000</v>
      </c>
      <c r="J104" s="53">
        <f t="shared" si="10"/>
        <v>2190000000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730</v>
      </c>
      <c r="H105" s="36">
        <f t="shared" si="8"/>
        <v>1</v>
      </c>
      <c r="I105" s="11">
        <f t="shared" si="9"/>
        <v>816480000</v>
      </c>
      <c r="J105" s="53">
        <f t="shared" si="10"/>
        <v>816480000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730</v>
      </c>
      <c r="H106" s="36">
        <f t="shared" si="8"/>
        <v>0</v>
      </c>
      <c r="I106" s="11">
        <f t="shared" si="9"/>
        <v>-2190000000</v>
      </c>
      <c r="J106" s="53">
        <f t="shared" si="10"/>
        <v>0</v>
      </c>
      <c r="K106" s="53">
        <f t="shared" si="11"/>
        <v>-2190000000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721</v>
      </c>
      <c r="H107" s="36">
        <f t="shared" si="8"/>
        <v>1</v>
      </c>
      <c r="I107" s="11">
        <f t="shared" si="9"/>
        <v>65155680</v>
      </c>
      <c r="J107" s="53">
        <f t="shared" si="10"/>
        <v>54082800</v>
      </c>
      <c r="K107" s="53">
        <f t="shared" si="11"/>
        <v>11072880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719</v>
      </c>
      <c r="H108" s="36">
        <f t="shared" si="8"/>
        <v>0</v>
      </c>
      <c r="I108" s="11">
        <f t="shared" si="9"/>
        <v>-1222803300</v>
      </c>
      <c r="J108" s="53">
        <f t="shared" si="10"/>
        <v>0</v>
      </c>
      <c r="K108" s="53">
        <f t="shared" si="11"/>
        <v>-1222803300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715</v>
      </c>
      <c r="H109" s="36">
        <f t="shared" si="8"/>
        <v>0</v>
      </c>
      <c r="I109" s="11">
        <f t="shared" si="9"/>
        <v>-715357500</v>
      </c>
      <c r="J109" s="53">
        <f t="shared" si="10"/>
        <v>0</v>
      </c>
      <c r="K109" s="53">
        <f t="shared" si="11"/>
        <v>-715357500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712</v>
      </c>
      <c r="H110" s="36">
        <f t="shared" si="8"/>
        <v>1</v>
      </c>
      <c r="I110" s="11">
        <f t="shared" si="9"/>
        <v>14220000000</v>
      </c>
      <c r="J110" s="53">
        <f t="shared" si="10"/>
        <v>0</v>
      </c>
      <c r="K110" s="53">
        <f t="shared" si="11"/>
        <v>14220000000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692</v>
      </c>
      <c r="H111" s="36">
        <f t="shared" si="8"/>
        <v>1</v>
      </c>
      <c r="I111" s="11">
        <f t="shared" si="9"/>
        <v>120702498</v>
      </c>
      <c r="J111" s="53">
        <f t="shared" si="10"/>
        <v>60367833</v>
      </c>
      <c r="K111" s="53">
        <f t="shared" si="11"/>
        <v>60334665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676</v>
      </c>
      <c r="H112" s="36">
        <f t="shared" si="8"/>
        <v>0</v>
      </c>
      <c r="I112" s="11">
        <f t="shared" si="9"/>
        <v>-19198400000</v>
      </c>
      <c r="J112" s="53">
        <f t="shared" si="10"/>
        <v>0</v>
      </c>
      <c r="K112" s="53">
        <f t="shared" si="11"/>
        <v>-19198400000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661</v>
      </c>
      <c r="H113" s="36">
        <f t="shared" si="8"/>
        <v>1</v>
      </c>
      <c r="I113" s="11">
        <f t="shared" si="9"/>
        <v>107606400</v>
      </c>
      <c r="J113" s="53">
        <f t="shared" si="10"/>
        <v>80857260</v>
      </c>
      <c r="K113" s="53">
        <f t="shared" si="11"/>
        <v>26749140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661</v>
      </c>
      <c r="H114" s="36">
        <f t="shared" si="8"/>
        <v>0</v>
      </c>
      <c r="I114" s="11">
        <f t="shared" si="9"/>
        <v>-3767700</v>
      </c>
      <c r="J114" s="53">
        <f t="shared" si="10"/>
        <v>-1652500</v>
      </c>
      <c r="K114" s="53">
        <f t="shared" si="11"/>
        <v>-2115200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648</v>
      </c>
      <c r="H115" s="36">
        <f t="shared" si="8"/>
        <v>0</v>
      </c>
      <c r="I115" s="11">
        <f t="shared" si="9"/>
        <v>0</v>
      </c>
      <c r="J115" s="53">
        <f t="shared" si="10"/>
        <v>324000000</v>
      </c>
      <c r="K115" s="53">
        <f t="shared" si="11"/>
        <v>-324000000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640</v>
      </c>
      <c r="H116" s="36">
        <f t="shared" si="8"/>
        <v>0</v>
      </c>
      <c r="I116" s="11">
        <f t="shared" si="9"/>
        <v>-102400000</v>
      </c>
      <c r="J116" s="53">
        <f t="shared" si="10"/>
        <v>0</v>
      </c>
      <c r="K116" s="53">
        <f t="shared" si="11"/>
        <v>-102400000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631</v>
      </c>
      <c r="H117" s="36">
        <f t="shared" si="8"/>
        <v>1</v>
      </c>
      <c r="I117" s="11">
        <f t="shared" si="9"/>
        <v>932400</v>
      </c>
      <c r="J117" s="53">
        <f t="shared" si="10"/>
        <v>67372830</v>
      </c>
      <c r="K117" s="53">
        <f t="shared" si="11"/>
        <v>-66440430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609</v>
      </c>
      <c r="H118" s="36">
        <f t="shared" si="8"/>
        <v>1</v>
      </c>
      <c r="I118" s="11">
        <f t="shared" si="9"/>
        <v>23954896000</v>
      </c>
      <c r="J118" s="53">
        <f t="shared" si="10"/>
        <v>0</v>
      </c>
      <c r="K118" s="53">
        <f t="shared" si="11"/>
        <v>23954896000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600</v>
      </c>
      <c r="H119" s="36">
        <f t="shared" si="8"/>
        <v>1</v>
      </c>
      <c r="I119" s="11">
        <f t="shared" si="9"/>
        <v>57217079</v>
      </c>
      <c r="J119" s="53">
        <f t="shared" si="10"/>
        <v>65922346</v>
      </c>
      <c r="K119" s="53">
        <f t="shared" si="11"/>
        <v>-8705267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596</v>
      </c>
      <c r="H120" s="11">
        <f t="shared" si="8"/>
        <v>1</v>
      </c>
      <c r="I120" s="11">
        <f t="shared" ref="I120:I296" si="13">B120*(G120-H120)</f>
        <v>1190000000</v>
      </c>
      <c r="J120" s="11">
        <f t="shared" si="10"/>
        <v>0</v>
      </c>
      <c r="K120" s="11">
        <f t="shared" si="11"/>
        <v>1190000000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570</v>
      </c>
      <c r="H121" s="11">
        <f t="shared" si="8"/>
        <v>1</v>
      </c>
      <c r="I121" s="11">
        <f t="shared" si="13"/>
        <v>1479400000</v>
      </c>
      <c r="J121" s="11">
        <f t="shared" si="10"/>
        <v>0</v>
      </c>
      <c r="K121" s="11">
        <f t="shared" si="11"/>
        <v>1479400000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569</v>
      </c>
      <c r="H122" s="11">
        <f t="shared" si="8"/>
        <v>1</v>
      </c>
      <c r="I122" s="11">
        <f t="shared" si="13"/>
        <v>218424968</v>
      </c>
      <c r="J122" s="11">
        <f t="shared" si="10"/>
        <v>62995744</v>
      </c>
      <c r="K122" s="11">
        <f t="shared" si="11"/>
        <v>155429224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568</v>
      </c>
      <c r="H123" s="11">
        <f t="shared" si="8"/>
        <v>0</v>
      </c>
      <c r="I123" s="11">
        <f t="shared" si="13"/>
        <v>0</v>
      </c>
      <c r="J123" s="11">
        <f t="shared" si="10"/>
        <v>454400000</v>
      </c>
      <c r="K123" s="11">
        <f t="shared" si="11"/>
        <v>-454400000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554</v>
      </c>
      <c r="H124" s="11">
        <f t="shared" si="8"/>
        <v>0</v>
      </c>
      <c r="I124" s="11">
        <f t="shared" si="13"/>
        <v>-1662000000</v>
      </c>
      <c r="J124" s="11">
        <f t="shared" si="10"/>
        <v>0</v>
      </c>
      <c r="K124" s="11">
        <f t="shared" si="11"/>
        <v>-1662000000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539</v>
      </c>
      <c r="H125" s="11">
        <f t="shared" si="8"/>
        <v>1</v>
      </c>
      <c r="I125" s="11">
        <f t="shared" si="13"/>
        <v>215581980</v>
      </c>
      <c r="J125" s="11">
        <f t="shared" si="10"/>
        <v>63954750</v>
      </c>
      <c r="K125" s="11">
        <f t="shared" si="11"/>
        <v>151627230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539</v>
      </c>
      <c r="H126" s="11">
        <f t="shared" si="8"/>
        <v>1</v>
      </c>
      <c r="I126" s="11">
        <f t="shared" si="13"/>
        <v>22596000000</v>
      </c>
      <c r="J126" s="11">
        <f t="shared" si="10"/>
        <v>0</v>
      </c>
      <c r="K126" s="11">
        <f t="shared" si="11"/>
        <v>22596000000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514</v>
      </c>
      <c r="H127" s="11">
        <f t="shared" si="8"/>
        <v>0</v>
      </c>
      <c r="I127" s="11">
        <f t="shared" si="13"/>
        <v>-2570000</v>
      </c>
      <c r="J127" s="11">
        <f t="shared" si="10"/>
        <v>0</v>
      </c>
      <c r="K127" s="11">
        <f t="shared" si="11"/>
        <v>-2570000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508</v>
      </c>
      <c r="H128" s="11">
        <f t="shared" si="8"/>
        <v>1</v>
      </c>
      <c r="I128" s="11">
        <f t="shared" si="13"/>
        <v>391086618</v>
      </c>
      <c r="J128" s="11">
        <f t="shared" si="10"/>
        <v>61193379</v>
      </c>
      <c r="K128" s="11">
        <f t="shared" si="11"/>
        <v>329893239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505</v>
      </c>
      <c r="H129" s="11">
        <f t="shared" si="8"/>
        <v>1</v>
      </c>
      <c r="I129" s="11">
        <f t="shared" si="13"/>
        <v>1260000000</v>
      </c>
      <c r="J129" s="11">
        <f t="shared" si="10"/>
        <v>0</v>
      </c>
      <c r="K129" s="11">
        <f t="shared" si="11"/>
        <v>1260000000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491</v>
      </c>
      <c r="H130" s="11">
        <f t="shared" si="8"/>
        <v>0</v>
      </c>
      <c r="I130" s="11">
        <f t="shared" si="13"/>
        <v>-491000000</v>
      </c>
      <c r="J130" s="11">
        <f t="shared" si="10"/>
        <v>-491000000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486</v>
      </c>
      <c r="H131" s="11">
        <f t="shared" si="8"/>
        <v>0</v>
      </c>
      <c r="I131" s="11">
        <f t="shared" si="13"/>
        <v>-24300000000</v>
      </c>
      <c r="J131" s="11">
        <f t="shared" si="10"/>
        <v>0</v>
      </c>
      <c r="K131" s="11">
        <f t="shared" si="11"/>
        <v>-24300000000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478</v>
      </c>
      <c r="H132" s="11">
        <f t="shared" ref="H132:H308" si="15">IF(B132&gt;0,1,0)</f>
        <v>1</v>
      </c>
      <c r="I132" s="11">
        <f t="shared" si="13"/>
        <v>293014899</v>
      </c>
      <c r="J132" s="11">
        <f t="shared" ref="J132:J206" si="16">C132*(G132-H132)</f>
        <v>50548167</v>
      </c>
      <c r="K132" s="11">
        <f t="shared" ref="K132:K281" si="17">D132*(G132-H132)</f>
        <v>242466732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474</v>
      </c>
      <c r="H133" s="11">
        <f t="shared" si="15"/>
        <v>0</v>
      </c>
      <c r="I133" s="11">
        <f t="shared" si="13"/>
        <v>-573871800</v>
      </c>
      <c r="J133" s="11">
        <f t="shared" si="16"/>
        <v>0</v>
      </c>
      <c r="K133" s="11">
        <f t="shared" si="17"/>
        <v>-573871800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465</v>
      </c>
      <c r="H134" s="11">
        <f t="shared" si="15"/>
        <v>0</v>
      </c>
      <c r="I134" s="11">
        <f t="shared" si="13"/>
        <v>-30225000</v>
      </c>
      <c r="J134" s="11">
        <f t="shared" si="16"/>
        <v>0</v>
      </c>
      <c r="K134" s="11">
        <f t="shared" si="17"/>
        <v>-30225000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465</v>
      </c>
      <c r="H135" s="11">
        <f t="shared" si="15"/>
        <v>0</v>
      </c>
      <c r="I135" s="11">
        <f t="shared" si="13"/>
        <v>-15019500</v>
      </c>
      <c r="J135" s="11">
        <f t="shared" si="16"/>
        <v>0</v>
      </c>
      <c r="K135" s="11">
        <f t="shared" si="17"/>
        <v>-15019500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457</v>
      </c>
      <c r="H136" s="11">
        <f t="shared" si="15"/>
        <v>0</v>
      </c>
      <c r="I136" s="11">
        <f t="shared" si="13"/>
        <v>-457000000</v>
      </c>
      <c r="J136" s="11">
        <f t="shared" si="16"/>
        <v>-457000000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448</v>
      </c>
      <c r="H137" s="11">
        <f t="shared" si="15"/>
        <v>1</v>
      </c>
      <c r="I137" s="11">
        <f t="shared" si="13"/>
        <v>130020231</v>
      </c>
      <c r="J137" s="11">
        <f t="shared" si="16"/>
        <v>43519473</v>
      </c>
      <c r="K137" s="11">
        <f t="shared" si="17"/>
        <v>86500758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431</v>
      </c>
      <c r="H138" s="11">
        <f t="shared" si="15"/>
        <v>0</v>
      </c>
      <c r="I138" s="11">
        <f t="shared" si="13"/>
        <v>-431215500</v>
      </c>
      <c r="J138" s="11">
        <f t="shared" si="16"/>
        <v>-431215500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419</v>
      </c>
      <c r="H139" s="11">
        <f t="shared" si="15"/>
        <v>1</v>
      </c>
      <c r="I139" s="11">
        <f t="shared" si="13"/>
        <v>117976320</v>
      </c>
      <c r="J139" s="11">
        <f t="shared" si="16"/>
        <v>37121326</v>
      </c>
      <c r="K139" s="11">
        <f t="shared" si="17"/>
        <v>80854994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416</v>
      </c>
      <c r="H140" s="11">
        <f t="shared" si="15"/>
        <v>1</v>
      </c>
      <c r="I140" s="11">
        <f t="shared" si="13"/>
        <v>622500000</v>
      </c>
      <c r="J140" s="11">
        <f t="shared" si="16"/>
        <v>0</v>
      </c>
      <c r="K140" s="11">
        <f t="shared" si="17"/>
        <v>622500000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403</v>
      </c>
      <c r="H141" s="11">
        <f t="shared" si="15"/>
        <v>0</v>
      </c>
      <c r="I141" s="11">
        <f t="shared" si="13"/>
        <v>0</v>
      </c>
      <c r="J141" s="11">
        <f t="shared" si="16"/>
        <v>-403000000</v>
      </c>
      <c r="K141" s="11">
        <f t="shared" si="17"/>
        <v>403000000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389</v>
      </c>
      <c r="H142" s="11">
        <f t="shared" si="15"/>
        <v>1</v>
      </c>
      <c r="I142" s="11">
        <f t="shared" si="13"/>
        <v>112866484</v>
      </c>
      <c r="J142" s="11">
        <f t="shared" si="16"/>
        <v>31436536</v>
      </c>
      <c r="K142" s="11">
        <f t="shared" si="17"/>
        <v>81429948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369</v>
      </c>
      <c r="H143" s="11">
        <f t="shared" si="15"/>
        <v>0</v>
      </c>
      <c r="I143" s="11">
        <f t="shared" si="13"/>
        <v>0</v>
      </c>
      <c r="J143" s="11">
        <f t="shared" si="16"/>
        <v>-369000000</v>
      </c>
      <c r="K143" s="11">
        <f t="shared" si="17"/>
        <v>369000000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359</v>
      </c>
      <c r="H144" s="11">
        <f t="shared" si="15"/>
        <v>1</v>
      </c>
      <c r="I144" s="11">
        <f t="shared" si="13"/>
        <v>105557016</v>
      </c>
      <c r="J144" s="11">
        <f t="shared" si="16"/>
        <v>26727206</v>
      </c>
      <c r="K144" s="11">
        <f t="shared" si="17"/>
        <v>78829810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344</v>
      </c>
      <c r="H145" s="11">
        <f t="shared" si="15"/>
        <v>0</v>
      </c>
      <c r="I145" s="11">
        <f t="shared" si="13"/>
        <v>-3440000</v>
      </c>
      <c r="J145" s="11">
        <f t="shared" si="16"/>
        <v>-1720000</v>
      </c>
      <c r="K145" s="11">
        <f t="shared" si="17"/>
        <v>-1720000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339</v>
      </c>
      <c r="H146" s="11">
        <f t="shared" si="15"/>
        <v>0</v>
      </c>
      <c r="I146" s="11">
        <f t="shared" si="13"/>
        <v>-339169500</v>
      </c>
      <c r="J146" s="11">
        <f t="shared" si="16"/>
        <v>-339169500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333</v>
      </c>
      <c r="H147" s="11">
        <f t="shared" si="15"/>
        <v>0</v>
      </c>
      <c r="I147" s="11">
        <f t="shared" si="13"/>
        <v>-8991000000</v>
      </c>
      <c r="J147" s="11">
        <f t="shared" si="16"/>
        <v>0</v>
      </c>
      <c r="K147" s="11">
        <f t="shared" si="17"/>
        <v>-8991000000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330</v>
      </c>
      <c r="H148" s="11">
        <f t="shared" si="15"/>
        <v>1</v>
      </c>
      <c r="I148" s="11">
        <f t="shared" si="13"/>
        <v>83051444</v>
      </c>
      <c r="J148" s="11">
        <f t="shared" si="16"/>
        <v>21552790</v>
      </c>
      <c r="K148" s="11">
        <f t="shared" si="17"/>
        <v>61498654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322</v>
      </c>
      <c r="H149" s="11">
        <f t="shared" si="15"/>
        <v>1</v>
      </c>
      <c r="I149" s="11">
        <f t="shared" si="13"/>
        <v>16820400000</v>
      </c>
      <c r="J149" s="11">
        <f t="shared" si="16"/>
        <v>0</v>
      </c>
      <c r="K149" s="11">
        <f t="shared" si="17"/>
        <v>16820400000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315</v>
      </c>
      <c r="H150" s="11">
        <f t="shared" si="15"/>
        <v>0</v>
      </c>
      <c r="I150" s="11">
        <f t="shared" si="13"/>
        <v>-16380000000</v>
      </c>
      <c r="J150" s="11">
        <f t="shared" si="16"/>
        <v>0</v>
      </c>
      <c r="K150" s="11">
        <f t="shared" si="17"/>
        <v>-16380000000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310</v>
      </c>
      <c r="H151" s="99">
        <f t="shared" si="15"/>
        <v>0</v>
      </c>
      <c r="I151" s="99">
        <f t="shared" si="13"/>
        <v>-2480000000</v>
      </c>
      <c r="J151" s="99">
        <f t="shared" si="16"/>
        <v>-2099360610</v>
      </c>
      <c r="K151" s="11">
        <f t="shared" si="17"/>
        <v>-380639390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310</v>
      </c>
      <c r="H152" s="99">
        <f t="shared" si="15"/>
        <v>0</v>
      </c>
      <c r="I152" s="99">
        <f t="shared" si="13"/>
        <v>-9681300</v>
      </c>
      <c r="J152" s="99">
        <f t="shared" si="16"/>
        <v>0</v>
      </c>
      <c r="K152" s="99">
        <f t="shared" si="17"/>
        <v>-9681300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299</v>
      </c>
      <c r="H153" s="99">
        <f t="shared" si="15"/>
        <v>1</v>
      </c>
      <c r="I153" s="99">
        <f t="shared" si="13"/>
        <v>40255926</v>
      </c>
      <c r="J153" s="99">
        <f t="shared" si="16"/>
        <v>12256740</v>
      </c>
      <c r="K153" s="99">
        <f t="shared" si="17"/>
        <v>27999186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296</v>
      </c>
      <c r="H154" s="99">
        <f t="shared" si="15"/>
        <v>1</v>
      </c>
      <c r="I154" s="99">
        <f t="shared" si="13"/>
        <v>2013104190</v>
      </c>
      <c r="J154" s="99">
        <f t="shared" si="16"/>
        <v>2013104190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291</v>
      </c>
      <c r="H155" s="99">
        <f t="shared" si="15"/>
        <v>0</v>
      </c>
      <c r="I155" s="99">
        <f t="shared" si="13"/>
        <v>-58200000</v>
      </c>
      <c r="J155" s="99">
        <f t="shared" si="16"/>
        <v>0</v>
      </c>
      <c r="K155" s="99">
        <f t="shared" si="17"/>
        <v>-58200000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291</v>
      </c>
      <c r="H156" s="99">
        <f t="shared" si="15"/>
        <v>0</v>
      </c>
      <c r="I156" s="99">
        <f t="shared" si="13"/>
        <v>-72121440</v>
      </c>
      <c r="J156" s="99">
        <f t="shared" si="16"/>
        <v>0</v>
      </c>
      <c r="K156" s="99">
        <f t="shared" si="17"/>
        <v>-72121440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290</v>
      </c>
      <c r="H157" s="99">
        <f t="shared" si="15"/>
        <v>0</v>
      </c>
      <c r="I157" s="99">
        <f t="shared" si="13"/>
        <v>-47078600</v>
      </c>
      <c r="J157" s="99">
        <f t="shared" si="16"/>
        <v>0</v>
      </c>
      <c r="K157" s="99">
        <f t="shared" si="17"/>
        <v>-47078600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290</v>
      </c>
      <c r="H158" s="99">
        <f t="shared" si="15"/>
        <v>0</v>
      </c>
      <c r="I158" s="99">
        <f t="shared" si="13"/>
        <v>-870261000</v>
      </c>
      <c r="J158" s="99">
        <f t="shared" si="16"/>
        <v>0</v>
      </c>
      <c r="K158" s="99">
        <f t="shared" si="17"/>
        <v>-870261000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288</v>
      </c>
      <c r="H159" s="99">
        <f t="shared" si="15"/>
        <v>0</v>
      </c>
      <c r="I159" s="99">
        <f t="shared" si="13"/>
        <v>-288144000</v>
      </c>
      <c r="J159" s="99">
        <f t="shared" si="16"/>
        <v>0</v>
      </c>
      <c r="K159" s="99">
        <f t="shared" si="17"/>
        <v>-288144000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284</v>
      </c>
      <c r="H160" s="99">
        <f t="shared" si="15"/>
        <v>0</v>
      </c>
      <c r="I160" s="99">
        <f t="shared" si="13"/>
        <v>-28400000</v>
      </c>
      <c r="J160" s="99">
        <f t="shared" si="16"/>
        <v>0</v>
      </c>
      <c r="K160" s="99">
        <f t="shared" si="17"/>
        <v>-28400000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283</v>
      </c>
      <c r="H161" s="99">
        <f t="shared" si="15"/>
        <v>0</v>
      </c>
      <c r="I161" s="99">
        <f t="shared" si="13"/>
        <v>-566000000</v>
      </c>
      <c r="J161" s="99">
        <f t="shared" si="16"/>
        <v>0</v>
      </c>
      <c r="K161" s="99">
        <f t="shared" si="17"/>
        <v>-566000000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283</v>
      </c>
      <c r="H162" s="99">
        <f t="shared" si="15"/>
        <v>0</v>
      </c>
      <c r="I162" s="99">
        <f t="shared" si="13"/>
        <v>-283141500</v>
      </c>
      <c r="J162" s="99">
        <f t="shared" si="16"/>
        <v>0</v>
      </c>
      <c r="K162" s="99">
        <f t="shared" si="17"/>
        <v>-283141500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280</v>
      </c>
      <c r="H163" s="99">
        <f t="shared" si="15"/>
        <v>0</v>
      </c>
      <c r="I163" s="99">
        <f t="shared" si="13"/>
        <v>-1400000</v>
      </c>
      <c r="J163" s="99">
        <f t="shared" si="16"/>
        <v>0</v>
      </c>
      <c r="K163" s="99">
        <f t="shared" si="17"/>
        <v>-1400000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270</v>
      </c>
      <c r="H164" s="99">
        <f t="shared" si="15"/>
        <v>1</v>
      </c>
      <c r="I164" s="99">
        <f t="shared" si="13"/>
        <v>807000000</v>
      </c>
      <c r="J164" s="99">
        <f t="shared" si="16"/>
        <v>0</v>
      </c>
      <c r="K164" s="99">
        <f t="shared" si="17"/>
        <v>807000000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269</v>
      </c>
      <c r="H165" s="99">
        <f t="shared" si="15"/>
        <v>1</v>
      </c>
      <c r="I165" s="99">
        <f t="shared" si="13"/>
        <v>804000000</v>
      </c>
      <c r="J165" s="99">
        <f t="shared" si="16"/>
        <v>0</v>
      </c>
      <c r="K165" s="99">
        <f t="shared" si="17"/>
        <v>804000000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268</v>
      </c>
      <c r="H166" s="99">
        <f t="shared" si="15"/>
        <v>1</v>
      </c>
      <c r="I166" s="99">
        <f t="shared" si="13"/>
        <v>5423838</v>
      </c>
      <c r="J166" s="99">
        <f t="shared" si="16"/>
        <v>15977814</v>
      </c>
      <c r="K166" s="99">
        <f t="shared" si="17"/>
        <v>-10553976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263</v>
      </c>
      <c r="H167" s="99">
        <f t="shared" si="15"/>
        <v>0</v>
      </c>
      <c r="I167" s="99">
        <f t="shared" si="13"/>
        <v>-789236700</v>
      </c>
      <c r="J167" s="99">
        <f t="shared" si="16"/>
        <v>0</v>
      </c>
      <c r="K167" s="99">
        <f t="shared" si="17"/>
        <v>-789236700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245</v>
      </c>
      <c r="H168" s="99">
        <f t="shared" si="15"/>
        <v>0</v>
      </c>
      <c r="I168" s="99">
        <f t="shared" si="13"/>
        <v>-735220500</v>
      </c>
      <c r="J168" s="99">
        <f t="shared" si="16"/>
        <v>0</v>
      </c>
      <c r="K168" s="99">
        <f t="shared" si="17"/>
        <v>-735220500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237</v>
      </c>
      <c r="H169" s="99">
        <f t="shared" si="15"/>
        <v>1</v>
      </c>
      <c r="I169" s="99">
        <f t="shared" si="13"/>
        <v>5122380</v>
      </c>
      <c r="J169" s="99">
        <f t="shared" si="16"/>
        <v>16169540</v>
      </c>
      <c r="K169" s="99">
        <f t="shared" si="17"/>
        <v>-11047160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213</v>
      </c>
      <c r="H170" s="99">
        <f t="shared" si="15"/>
        <v>1</v>
      </c>
      <c r="I170" s="99">
        <f t="shared" si="13"/>
        <v>1060000000</v>
      </c>
      <c r="J170" s="99">
        <f t="shared" si="16"/>
        <v>0</v>
      </c>
      <c r="K170" s="99">
        <f t="shared" si="17"/>
        <v>1060000000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212</v>
      </c>
      <c r="H171" s="99">
        <f t="shared" si="15"/>
        <v>0</v>
      </c>
      <c r="I171" s="99">
        <f t="shared" si="13"/>
        <v>-1060000000</v>
      </c>
      <c r="J171" s="99">
        <f t="shared" si="16"/>
        <v>0</v>
      </c>
      <c r="K171" s="99">
        <f t="shared" si="17"/>
        <v>-1060000000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206</v>
      </c>
      <c r="H172" s="99">
        <f t="shared" si="15"/>
        <v>1</v>
      </c>
      <c r="I172" s="99">
        <f t="shared" si="13"/>
        <v>101680</v>
      </c>
      <c r="J172" s="99">
        <f t="shared" si="16"/>
        <v>12849605</v>
      </c>
      <c r="K172" s="99">
        <f t="shared" si="17"/>
        <v>-12747925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205</v>
      </c>
      <c r="H173" s="99">
        <f t="shared" si="15"/>
        <v>1</v>
      </c>
      <c r="I173" s="99">
        <f t="shared" si="13"/>
        <v>160140000</v>
      </c>
      <c r="J173" s="99">
        <f t="shared" si="16"/>
        <v>0</v>
      </c>
      <c r="K173" s="99">
        <f t="shared" si="17"/>
        <v>160140000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194</v>
      </c>
      <c r="H174" s="99">
        <f t="shared" si="15"/>
        <v>0</v>
      </c>
      <c r="I174" s="99">
        <f t="shared" si="13"/>
        <v>-6208000</v>
      </c>
      <c r="J174" s="99">
        <f t="shared" si="16"/>
        <v>0</v>
      </c>
      <c r="K174" s="99">
        <f t="shared" si="17"/>
        <v>-6208000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192</v>
      </c>
      <c r="H175" s="99">
        <f t="shared" si="15"/>
        <v>0</v>
      </c>
      <c r="I175" s="99">
        <f t="shared" si="13"/>
        <v>-144000000</v>
      </c>
      <c r="J175" s="99">
        <f t="shared" si="16"/>
        <v>0</v>
      </c>
      <c r="K175" s="99">
        <f t="shared" si="17"/>
        <v>-144000000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183</v>
      </c>
      <c r="H176" s="99">
        <f t="shared" si="15"/>
        <v>0</v>
      </c>
      <c r="I176" s="99">
        <f t="shared" si="13"/>
        <v>-1719468</v>
      </c>
      <c r="J176" s="99">
        <f t="shared" si="16"/>
        <v>0</v>
      </c>
      <c r="K176" s="99">
        <f t="shared" si="17"/>
        <v>-1719468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182</v>
      </c>
      <c r="H177" s="99">
        <f t="shared" si="15"/>
        <v>0</v>
      </c>
      <c r="I177" s="99">
        <f t="shared" si="13"/>
        <v>-7880600</v>
      </c>
      <c r="J177" s="99">
        <f t="shared" si="16"/>
        <v>0</v>
      </c>
      <c r="K177" s="99">
        <f t="shared" si="17"/>
        <v>-7880600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179</v>
      </c>
      <c r="H178" s="99">
        <f t="shared" si="15"/>
        <v>1</v>
      </c>
      <c r="I178" s="99">
        <f t="shared" si="13"/>
        <v>64080000</v>
      </c>
      <c r="J178" s="99">
        <f t="shared" si="16"/>
        <v>0</v>
      </c>
      <c r="K178" s="99">
        <f t="shared" si="17"/>
        <v>64080000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177</v>
      </c>
      <c r="H179" s="99">
        <f t="shared" si="15"/>
        <v>1</v>
      </c>
      <c r="I179" s="99">
        <f t="shared" si="13"/>
        <v>528000000</v>
      </c>
      <c r="J179" s="99">
        <f t="shared" si="16"/>
        <v>0</v>
      </c>
      <c r="K179" s="99">
        <f t="shared" si="17"/>
        <v>528000000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177</v>
      </c>
      <c r="H180" s="99">
        <f t="shared" si="15"/>
        <v>0</v>
      </c>
      <c r="I180" s="99">
        <f t="shared" si="13"/>
        <v>-2132850</v>
      </c>
      <c r="J180" s="99">
        <f t="shared" si="16"/>
        <v>0</v>
      </c>
      <c r="K180" s="99">
        <f t="shared" si="17"/>
        <v>-2132850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175</v>
      </c>
      <c r="H181" s="99">
        <f t="shared" si="15"/>
        <v>1</v>
      </c>
      <c r="I181" s="99">
        <f t="shared" si="13"/>
        <v>522000000</v>
      </c>
      <c r="J181" s="99">
        <f t="shared" si="16"/>
        <v>0</v>
      </c>
      <c r="K181" s="99">
        <f t="shared" si="17"/>
        <v>522000000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173</v>
      </c>
      <c r="H182" s="99">
        <f t="shared" si="15"/>
        <v>0</v>
      </c>
      <c r="I182" s="99">
        <f t="shared" si="13"/>
        <v>-6193400</v>
      </c>
      <c r="J182" s="99">
        <f t="shared" si="16"/>
        <v>0</v>
      </c>
      <c r="K182" s="99">
        <f t="shared" si="17"/>
        <v>-6193400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172</v>
      </c>
      <c r="H183" s="99">
        <f t="shared" si="15"/>
        <v>1</v>
      </c>
      <c r="I183" s="99">
        <f t="shared" si="13"/>
        <v>615600000</v>
      </c>
      <c r="J183" s="99">
        <f t="shared" si="16"/>
        <v>0</v>
      </c>
      <c r="K183" s="99">
        <f t="shared" si="17"/>
        <v>615600000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172</v>
      </c>
      <c r="H184" s="99">
        <f t="shared" si="15"/>
        <v>0</v>
      </c>
      <c r="I184" s="99">
        <f t="shared" si="13"/>
        <v>-5740844</v>
      </c>
      <c r="J184" s="99">
        <f t="shared" si="16"/>
        <v>0</v>
      </c>
      <c r="K184" s="99">
        <f t="shared" si="17"/>
        <v>-5740844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169</v>
      </c>
      <c r="H185" s="99">
        <f t="shared" si="15"/>
        <v>0</v>
      </c>
      <c r="I185" s="99">
        <f t="shared" si="13"/>
        <v>-1656200000</v>
      </c>
      <c r="J185" s="99">
        <f t="shared" si="16"/>
        <v>0</v>
      </c>
      <c r="K185" s="99">
        <f t="shared" si="17"/>
        <v>-1656200000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169</v>
      </c>
      <c r="H186" s="99">
        <f t="shared" si="15"/>
        <v>1</v>
      </c>
      <c r="I186" s="99">
        <f t="shared" si="13"/>
        <v>3024000000</v>
      </c>
      <c r="J186" s="99">
        <f t="shared" si="16"/>
        <v>0</v>
      </c>
      <c r="K186" s="99">
        <f t="shared" si="17"/>
        <v>3024000000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169</v>
      </c>
      <c r="H187" s="99">
        <f t="shared" si="15"/>
        <v>0</v>
      </c>
      <c r="I187" s="99">
        <f t="shared" si="13"/>
        <v>-1521000000</v>
      </c>
      <c r="J187" s="99">
        <f t="shared" si="16"/>
        <v>0</v>
      </c>
      <c r="K187" s="99">
        <f t="shared" si="17"/>
        <v>-1521000000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169</v>
      </c>
      <c r="H188" s="99">
        <f t="shared" si="15"/>
        <v>0</v>
      </c>
      <c r="I188" s="99">
        <f t="shared" si="13"/>
        <v>-1960400</v>
      </c>
      <c r="J188" s="99">
        <f t="shared" si="16"/>
        <v>0</v>
      </c>
      <c r="K188" s="99">
        <f t="shared" si="17"/>
        <v>-1960400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169</v>
      </c>
      <c r="H189" s="99">
        <f t="shared" si="15"/>
        <v>0</v>
      </c>
      <c r="I189" s="99">
        <f t="shared" si="13"/>
        <v>-558431263</v>
      </c>
      <c r="J189" s="99">
        <f t="shared" si="16"/>
        <v>0</v>
      </c>
      <c r="K189" s="99">
        <f t="shared" si="17"/>
        <v>-558431263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168</v>
      </c>
      <c r="H190" s="99">
        <f t="shared" si="15"/>
        <v>0</v>
      </c>
      <c r="I190" s="99">
        <f t="shared" si="13"/>
        <v>-504151200</v>
      </c>
      <c r="J190" s="99">
        <f t="shared" si="16"/>
        <v>0</v>
      </c>
      <c r="K190" s="99">
        <f t="shared" si="17"/>
        <v>-504151200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167</v>
      </c>
      <c r="H191" s="99">
        <f t="shared" si="15"/>
        <v>0</v>
      </c>
      <c r="I191" s="99">
        <f t="shared" si="13"/>
        <v>-461070300</v>
      </c>
      <c r="J191" s="99">
        <f t="shared" si="16"/>
        <v>0</v>
      </c>
      <c r="K191" s="99">
        <f t="shared" si="17"/>
        <v>-461070300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162</v>
      </c>
      <c r="H192" s="99">
        <f t="shared" si="15"/>
        <v>1</v>
      </c>
      <c r="I192" s="99">
        <f t="shared" si="13"/>
        <v>161000000</v>
      </c>
      <c r="J192" s="99">
        <f t="shared" si="16"/>
        <v>0</v>
      </c>
      <c r="K192" s="99">
        <f t="shared" si="17"/>
        <v>161000000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161</v>
      </c>
      <c r="H193" s="99">
        <f t="shared" si="15"/>
        <v>0</v>
      </c>
      <c r="I193" s="99">
        <f t="shared" si="13"/>
        <v>-2415000</v>
      </c>
      <c r="J193" s="99">
        <f t="shared" si="16"/>
        <v>0</v>
      </c>
      <c r="K193" s="99">
        <f t="shared" si="17"/>
        <v>-2415000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159</v>
      </c>
      <c r="H194" s="99">
        <f t="shared" si="15"/>
        <v>0</v>
      </c>
      <c r="I194" s="99">
        <f t="shared" si="13"/>
        <v>-157410000</v>
      </c>
      <c r="J194" s="99">
        <f t="shared" si="16"/>
        <v>0</v>
      </c>
      <c r="K194" s="99">
        <f t="shared" si="17"/>
        <v>-157410000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159</v>
      </c>
      <c r="H195" s="99">
        <f t="shared" si="15"/>
        <v>1</v>
      </c>
      <c r="I195" s="99">
        <f t="shared" si="13"/>
        <v>123714000</v>
      </c>
      <c r="J195" s="99">
        <f t="shared" si="16"/>
        <v>0</v>
      </c>
      <c r="K195" s="99">
        <f t="shared" si="17"/>
        <v>123714000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157</v>
      </c>
      <c r="H196" s="99">
        <f t="shared" si="15"/>
        <v>0</v>
      </c>
      <c r="I196" s="99">
        <f t="shared" si="13"/>
        <v>-117828500</v>
      </c>
      <c r="J196" s="99">
        <f t="shared" si="16"/>
        <v>0</v>
      </c>
      <c r="K196" s="99">
        <f t="shared" si="17"/>
        <v>-117828500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155</v>
      </c>
      <c r="H197" s="99">
        <f t="shared" si="15"/>
        <v>1</v>
      </c>
      <c r="I197" s="99">
        <f t="shared" si="13"/>
        <v>107800000</v>
      </c>
      <c r="J197" s="99">
        <f t="shared" si="16"/>
        <v>0</v>
      </c>
      <c r="K197" s="99">
        <f t="shared" si="17"/>
        <v>107800000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155</v>
      </c>
      <c r="H198" s="99">
        <f t="shared" si="15"/>
        <v>0</v>
      </c>
      <c r="I198" s="99">
        <f t="shared" si="13"/>
        <v>-15345000</v>
      </c>
      <c r="J198" s="99">
        <f t="shared" si="16"/>
        <v>0</v>
      </c>
      <c r="K198" s="99">
        <f t="shared" si="17"/>
        <v>-15345000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154</v>
      </c>
      <c r="H199" s="99">
        <f t="shared" si="15"/>
        <v>0</v>
      </c>
      <c r="I199" s="99">
        <f t="shared" si="13"/>
        <v>-31685500</v>
      </c>
      <c r="J199" s="99">
        <f t="shared" si="16"/>
        <v>0</v>
      </c>
      <c r="K199" s="99">
        <f t="shared" si="17"/>
        <v>-31685500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154</v>
      </c>
      <c r="H200" s="99">
        <f t="shared" si="15"/>
        <v>0</v>
      </c>
      <c r="I200" s="99">
        <f t="shared" si="13"/>
        <v>-14630000</v>
      </c>
      <c r="J200" s="99">
        <f t="shared" si="16"/>
        <v>0</v>
      </c>
      <c r="K200" s="99">
        <f t="shared" si="17"/>
        <v>-14630000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151</v>
      </c>
      <c r="H201" s="99">
        <f t="shared" si="15"/>
        <v>1</v>
      </c>
      <c r="I201" s="99">
        <f t="shared" si="13"/>
        <v>7297500000</v>
      </c>
      <c r="J201" s="99">
        <f t="shared" si="16"/>
        <v>0</v>
      </c>
      <c r="K201" s="99">
        <f t="shared" si="17"/>
        <v>7297500000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151</v>
      </c>
      <c r="H202" s="99">
        <f t="shared" si="15"/>
        <v>0</v>
      </c>
      <c r="I202" s="99">
        <f t="shared" si="13"/>
        <v>-453135900</v>
      </c>
      <c r="J202" s="99">
        <f t="shared" si="16"/>
        <v>0</v>
      </c>
      <c r="K202" s="99">
        <f t="shared" si="17"/>
        <v>-453135900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151</v>
      </c>
      <c r="H203" s="99">
        <f t="shared" si="15"/>
        <v>0</v>
      </c>
      <c r="I203" s="99">
        <f t="shared" si="13"/>
        <v>-755000</v>
      </c>
      <c r="J203" s="99">
        <f t="shared" si="16"/>
        <v>0</v>
      </c>
      <c r="K203" s="99">
        <f t="shared" si="17"/>
        <v>-755000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151</v>
      </c>
      <c r="H204" s="99">
        <f t="shared" si="15"/>
        <v>0</v>
      </c>
      <c r="I204" s="99">
        <f t="shared" si="13"/>
        <v>-5058500000</v>
      </c>
      <c r="J204" s="99">
        <f t="shared" si="16"/>
        <v>0</v>
      </c>
      <c r="K204" s="99">
        <f t="shared" si="17"/>
        <v>-5058500000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16" si="19">G206+F205</f>
        <v>150</v>
      </c>
      <c r="H205" s="99">
        <f t="shared" si="15"/>
        <v>0</v>
      </c>
      <c r="I205" s="99">
        <f t="shared" si="13"/>
        <v>-1865250000</v>
      </c>
      <c r="J205" s="99">
        <f t="shared" si="16"/>
        <v>0</v>
      </c>
      <c r="K205" s="99">
        <f t="shared" si="17"/>
        <v>-1865250000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147</v>
      </c>
      <c r="H206" s="99">
        <f t="shared" si="15"/>
        <v>0</v>
      </c>
      <c r="I206" s="99">
        <f t="shared" si="13"/>
        <v>-2719500</v>
      </c>
      <c r="J206" s="99">
        <f t="shared" si="16"/>
        <v>0</v>
      </c>
      <c r="K206" s="99">
        <f t="shared" si="17"/>
        <v>-2719500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145</v>
      </c>
      <c r="H207" s="99">
        <f t="shared" si="15"/>
        <v>1</v>
      </c>
      <c r="I207" s="99">
        <f t="shared" si="13"/>
        <v>2085120</v>
      </c>
      <c r="J207" s="99">
        <f t="shared" ref="J207:J281" si="20">C207*(G207-H207)</f>
        <v>10205856</v>
      </c>
      <c r="K207" s="99">
        <f t="shared" si="17"/>
        <v>-8120736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144</v>
      </c>
      <c r="H208" s="99">
        <f t="shared" si="15"/>
        <v>1</v>
      </c>
      <c r="I208" s="99">
        <f t="shared" si="13"/>
        <v>118690000</v>
      </c>
      <c r="J208" s="99">
        <f t="shared" si="20"/>
        <v>0</v>
      </c>
      <c r="K208" s="99">
        <f t="shared" si="17"/>
        <v>118690000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142</v>
      </c>
      <c r="H209" s="99">
        <f t="shared" si="15"/>
        <v>0</v>
      </c>
      <c r="I209" s="99">
        <f t="shared" si="13"/>
        <v>-7446480</v>
      </c>
      <c r="J209" s="99">
        <f t="shared" si="20"/>
        <v>0</v>
      </c>
      <c r="K209" s="99">
        <f t="shared" si="17"/>
        <v>-7446480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141</v>
      </c>
      <c r="H210" s="99">
        <f t="shared" si="15"/>
        <v>0</v>
      </c>
      <c r="I210" s="99">
        <f t="shared" si="13"/>
        <v>-7205100</v>
      </c>
      <c r="J210" s="99">
        <f t="shared" si="20"/>
        <v>0</v>
      </c>
      <c r="K210" s="99">
        <f t="shared" si="17"/>
        <v>-7205100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140</v>
      </c>
      <c r="H211" s="99">
        <f t="shared" si="15"/>
        <v>0</v>
      </c>
      <c r="I211" s="99">
        <f t="shared" si="13"/>
        <v>-28000000</v>
      </c>
      <c r="J211" s="99">
        <f t="shared" si="20"/>
        <v>0</v>
      </c>
      <c r="K211" s="99">
        <f t="shared" si="17"/>
        <v>-28000000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139</v>
      </c>
      <c r="H212" s="99">
        <f t="shared" si="15"/>
        <v>0</v>
      </c>
      <c r="I212" s="99">
        <f t="shared" si="13"/>
        <v>-3892000</v>
      </c>
      <c r="J212" s="99">
        <f t="shared" si="20"/>
        <v>0</v>
      </c>
      <c r="K212" s="99">
        <f t="shared" si="17"/>
        <v>-3892000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138</v>
      </c>
      <c r="H213" s="99">
        <f t="shared" si="15"/>
        <v>0</v>
      </c>
      <c r="I213" s="99">
        <f t="shared" si="13"/>
        <v>-8155800</v>
      </c>
      <c r="J213" s="99">
        <f t="shared" si="20"/>
        <v>0</v>
      </c>
      <c r="K213" s="99">
        <f t="shared" si="17"/>
        <v>-8155800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137</v>
      </c>
      <c r="H214" s="99">
        <f t="shared" si="15"/>
        <v>0</v>
      </c>
      <c r="I214" s="99">
        <f t="shared" si="13"/>
        <v>-4110000</v>
      </c>
      <c r="J214" s="99">
        <f t="shared" si="20"/>
        <v>0</v>
      </c>
      <c r="K214" s="99">
        <f t="shared" si="17"/>
        <v>-4110000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137</v>
      </c>
      <c r="H215" s="99">
        <f t="shared" si="15"/>
        <v>0</v>
      </c>
      <c r="I215" s="99">
        <f t="shared" si="13"/>
        <v>-24386000</v>
      </c>
      <c r="J215" s="99">
        <f t="shared" si="20"/>
        <v>0</v>
      </c>
      <c r="K215" s="99">
        <f t="shared" si="17"/>
        <v>-24386000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136</v>
      </c>
      <c r="H216" s="99">
        <f t="shared" si="15"/>
        <v>0</v>
      </c>
      <c r="I216" s="99">
        <f t="shared" si="13"/>
        <v>-13002960</v>
      </c>
      <c r="J216" s="99">
        <f t="shared" si="20"/>
        <v>0</v>
      </c>
      <c r="K216" s="99">
        <f t="shared" si="17"/>
        <v>-13002960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133</v>
      </c>
      <c r="H217" s="99">
        <f t="shared" si="15"/>
        <v>0</v>
      </c>
      <c r="I217" s="99">
        <f t="shared" si="13"/>
        <v>-11172000</v>
      </c>
      <c r="J217" s="99">
        <f t="shared" si="20"/>
        <v>0</v>
      </c>
      <c r="K217" s="99">
        <f t="shared" si="17"/>
        <v>-11172000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131</v>
      </c>
      <c r="H218" s="99">
        <f t="shared" si="15"/>
        <v>0</v>
      </c>
      <c r="I218" s="99">
        <f t="shared" si="13"/>
        <v>-4323000</v>
      </c>
      <c r="J218" s="99">
        <f t="shared" si="20"/>
        <v>0</v>
      </c>
      <c r="K218" s="99">
        <f t="shared" si="17"/>
        <v>-4323000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128</v>
      </c>
      <c r="H219" s="99">
        <f t="shared" si="15"/>
        <v>1</v>
      </c>
      <c r="I219" s="99">
        <f t="shared" si="13"/>
        <v>196596000</v>
      </c>
      <c r="J219" s="99">
        <f t="shared" si="20"/>
        <v>0</v>
      </c>
      <c r="K219" s="99">
        <f t="shared" si="17"/>
        <v>196596000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127</v>
      </c>
      <c r="H220" s="99">
        <f t="shared" si="15"/>
        <v>0</v>
      </c>
      <c r="I220" s="99">
        <f t="shared" si="13"/>
        <v>-177888900</v>
      </c>
      <c r="J220" s="99">
        <f t="shared" si="20"/>
        <v>0</v>
      </c>
      <c r="K220" s="99">
        <f t="shared" si="17"/>
        <v>-177888900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127</v>
      </c>
      <c r="H221" s="99">
        <f t="shared" si="15"/>
        <v>0</v>
      </c>
      <c r="I221" s="99">
        <f t="shared" si="13"/>
        <v>-1270000</v>
      </c>
      <c r="J221" s="99">
        <f t="shared" si="20"/>
        <v>0</v>
      </c>
      <c r="K221" s="99">
        <f t="shared" si="17"/>
        <v>-1270000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127</v>
      </c>
      <c r="H222" s="99">
        <f t="shared" si="15"/>
        <v>0</v>
      </c>
      <c r="I222" s="99">
        <f t="shared" si="13"/>
        <v>-635000</v>
      </c>
      <c r="J222" s="99">
        <f t="shared" si="20"/>
        <v>-317500</v>
      </c>
      <c r="K222" s="99">
        <f t="shared" si="17"/>
        <v>-317500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121</v>
      </c>
      <c r="H223" s="99">
        <f t="shared" si="15"/>
        <v>0</v>
      </c>
      <c r="I223" s="99">
        <f t="shared" si="13"/>
        <v>-22990000</v>
      </c>
      <c r="J223" s="99">
        <f t="shared" si="20"/>
        <v>0</v>
      </c>
      <c r="K223" s="99">
        <f t="shared" si="17"/>
        <v>-22990000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114</v>
      </c>
      <c r="H224" s="99">
        <f t="shared" si="15"/>
        <v>1</v>
      </c>
      <c r="I224" s="99">
        <f t="shared" si="13"/>
        <v>215943</v>
      </c>
      <c r="J224" s="99">
        <f t="shared" si="20"/>
        <v>7341836</v>
      </c>
      <c r="K224" s="99">
        <f t="shared" si="17"/>
        <v>-7125893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108</v>
      </c>
      <c r="H225" s="99">
        <f t="shared" si="15"/>
        <v>1</v>
      </c>
      <c r="I225" s="99">
        <f t="shared" si="13"/>
        <v>535000000</v>
      </c>
      <c r="J225" s="99">
        <f t="shared" si="20"/>
        <v>0</v>
      </c>
      <c r="K225" s="99">
        <f t="shared" si="17"/>
        <v>535000000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107</v>
      </c>
      <c r="H226" s="99">
        <f t="shared" si="15"/>
        <v>0</v>
      </c>
      <c r="I226" s="99">
        <f t="shared" si="13"/>
        <v>-342400000</v>
      </c>
      <c r="J226" s="99">
        <f t="shared" si="20"/>
        <v>0</v>
      </c>
      <c r="K226" s="99">
        <f t="shared" si="17"/>
        <v>-342400000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107</v>
      </c>
      <c r="H227" s="99">
        <f t="shared" si="15"/>
        <v>1</v>
      </c>
      <c r="I227" s="99">
        <f t="shared" si="13"/>
        <v>254400000</v>
      </c>
      <c r="J227" s="99">
        <f t="shared" si="20"/>
        <v>0</v>
      </c>
      <c r="K227" s="99">
        <f t="shared" si="17"/>
        <v>254400000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105</v>
      </c>
      <c r="H228" s="99">
        <f t="shared" si="15"/>
        <v>0</v>
      </c>
      <c r="I228" s="99">
        <f t="shared" si="13"/>
        <v>-5250000</v>
      </c>
      <c r="J228" s="99">
        <f t="shared" si="20"/>
        <v>0</v>
      </c>
      <c r="K228" s="99">
        <f t="shared" si="17"/>
        <v>-5250000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104</v>
      </c>
      <c r="H229" s="99">
        <f t="shared" si="15"/>
        <v>0</v>
      </c>
      <c r="I229" s="99">
        <f t="shared" si="13"/>
        <v>-426472800</v>
      </c>
      <c r="J229" s="99">
        <f t="shared" si="20"/>
        <v>0</v>
      </c>
      <c r="K229" s="99">
        <f t="shared" si="17"/>
        <v>-426472800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100</v>
      </c>
      <c r="H230" s="99">
        <f t="shared" si="15"/>
        <v>1</v>
      </c>
      <c r="I230" s="99">
        <f t="shared" si="13"/>
        <v>960300000</v>
      </c>
      <c r="J230" s="99">
        <f t="shared" si="20"/>
        <v>0</v>
      </c>
      <c r="K230" s="99">
        <f t="shared" si="17"/>
        <v>960300000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100</v>
      </c>
      <c r="H231" s="99">
        <f t="shared" si="15"/>
        <v>0</v>
      </c>
      <c r="I231" s="99">
        <f t="shared" si="13"/>
        <v>-300090000</v>
      </c>
      <c r="J231" s="99">
        <f t="shared" si="20"/>
        <v>0</v>
      </c>
      <c r="K231" s="99">
        <f t="shared" si="17"/>
        <v>-300090000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99</v>
      </c>
      <c r="H232" s="99">
        <f t="shared" si="15"/>
        <v>0</v>
      </c>
      <c r="I232" s="99">
        <f t="shared" si="13"/>
        <v>-297089100</v>
      </c>
      <c r="J232" s="99">
        <f t="shared" si="20"/>
        <v>0</v>
      </c>
      <c r="K232" s="99">
        <f t="shared" si="17"/>
        <v>-297089100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99</v>
      </c>
      <c r="H233" s="99">
        <f t="shared" si="15"/>
        <v>0</v>
      </c>
      <c r="I233" s="99">
        <f t="shared" si="13"/>
        <v>-54945000</v>
      </c>
      <c r="J233" s="99">
        <f t="shared" si="20"/>
        <v>0</v>
      </c>
      <c r="K233" s="99">
        <f t="shared" si="17"/>
        <v>-54945000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98</v>
      </c>
      <c r="H234" s="99">
        <f t="shared" si="15"/>
        <v>0</v>
      </c>
      <c r="I234" s="99">
        <f t="shared" si="13"/>
        <v>-13559280</v>
      </c>
      <c r="J234" s="99">
        <f t="shared" si="20"/>
        <v>0</v>
      </c>
      <c r="K234" s="99">
        <f t="shared" si="17"/>
        <v>-13559280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97</v>
      </c>
      <c r="H235" s="99">
        <f t="shared" si="15"/>
        <v>0</v>
      </c>
      <c r="I235" s="99">
        <f t="shared" si="13"/>
        <v>-291087300</v>
      </c>
      <c r="J235" s="99">
        <f t="shared" si="20"/>
        <v>0</v>
      </c>
      <c r="K235" s="99">
        <f t="shared" si="17"/>
        <v>-291087300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95</v>
      </c>
      <c r="H236" s="99">
        <f t="shared" si="15"/>
        <v>0</v>
      </c>
      <c r="I236" s="99">
        <f t="shared" si="13"/>
        <v>-5225000</v>
      </c>
      <c r="J236" s="99">
        <f t="shared" si="20"/>
        <v>0</v>
      </c>
      <c r="K236" s="99">
        <f t="shared" si="17"/>
        <v>-5225000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91</v>
      </c>
      <c r="H237" s="99">
        <f t="shared" si="15"/>
        <v>1</v>
      </c>
      <c r="I237" s="99">
        <f t="shared" si="13"/>
        <v>543150000</v>
      </c>
      <c r="J237" s="99">
        <f t="shared" si="20"/>
        <v>0</v>
      </c>
      <c r="K237" s="99">
        <f t="shared" si="17"/>
        <v>543150000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89</v>
      </c>
      <c r="H238" s="99">
        <f t="shared" si="15"/>
        <v>0</v>
      </c>
      <c r="I238" s="99">
        <f t="shared" si="13"/>
        <v>-667500</v>
      </c>
      <c r="J238" s="99">
        <f t="shared" si="20"/>
        <v>0</v>
      </c>
      <c r="K238" s="99">
        <f t="shared" si="17"/>
        <v>-667500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88</v>
      </c>
      <c r="H239" s="99">
        <f t="shared" si="15"/>
        <v>0</v>
      </c>
      <c r="I239" s="99">
        <f t="shared" si="13"/>
        <v>-360670024</v>
      </c>
      <c r="J239" s="99">
        <f t="shared" si="20"/>
        <v>0</v>
      </c>
      <c r="K239" s="99">
        <f t="shared" si="17"/>
        <v>-360670024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88</v>
      </c>
      <c r="H240" s="99">
        <f t="shared" si="15"/>
        <v>0</v>
      </c>
      <c r="I240" s="99">
        <f t="shared" si="13"/>
        <v>-2923800</v>
      </c>
      <c r="J240" s="99">
        <f t="shared" si="20"/>
        <v>0</v>
      </c>
      <c r="K240" s="99">
        <f t="shared" si="17"/>
        <v>-2923800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88</v>
      </c>
      <c r="H241" s="99">
        <f t="shared" si="15"/>
        <v>0</v>
      </c>
      <c r="I241" s="99">
        <f t="shared" si="13"/>
        <v>-166760000</v>
      </c>
      <c r="J241" s="99">
        <f t="shared" si="20"/>
        <v>0</v>
      </c>
      <c r="K241" s="99">
        <f t="shared" si="17"/>
        <v>-166760000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81</v>
      </c>
      <c r="H242" s="99">
        <f t="shared" si="15"/>
        <v>1</v>
      </c>
      <c r="I242" s="99">
        <f t="shared" si="13"/>
        <v>200000000</v>
      </c>
      <c r="J242" s="99">
        <f t="shared" si="20"/>
        <v>0</v>
      </c>
      <c r="K242" s="99">
        <f t="shared" si="17"/>
        <v>200000000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79</v>
      </c>
      <c r="H243" s="99">
        <f t="shared" si="15"/>
        <v>0</v>
      </c>
      <c r="I243" s="99">
        <f t="shared" si="13"/>
        <v>-197500000</v>
      </c>
      <c r="J243" s="99">
        <f t="shared" si="20"/>
        <v>0</v>
      </c>
      <c r="K243" s="99">
        <f t="shared" si="17"/>
        <v>-197500000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77</v>
      </c>
      <c r="H244" s="99">
        <f t="shared" si="15"/>
        <v>1</v>
      </c>
      <c r="I244" s="99">
        <f t="shared" si="13"/>
        <v>83600000</v>
      </c>
      <c r="J244" s="99">
        <f t="shared" si="20"/>
        <v>0</v>
      </c>
      <c r="K244" s="99">
        <f t="shared" si="17"/>
        <v>83600000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75</v>
      </c>
      <c r="H245" s="99">
        <f t="shared" si="15"/>
        <v>1</v>
      </c>
      <c r="I245" s="99">
        <f t="shared" si="13"/>
        <v>222000000</v>
      </c>
      <c r="J245" s="99">
        <f t="shared" si="20"/>
        <v>0</v>
      </c>
      <c r="K245" s="99">
        <f t="shared" si="17"/>
        <v>222000000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73</v>
      </c>
      <c r="H246" s="99">
        <f t="shared" si="15"/>
        <v>0</v>
      </c>
      <c r="I246" s="99">
        <f t="shared" si="13"/>
        <v>-294971100</v>
      </c>
      <c r="J246" s="99">
        <f t="shared" si="20"/>
        <v>0</v>
      </c>
      <c r="K246" s="99">
        <f t="shared" si="17"/>
        <v>-294971100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73</v>
      </c>
      <c r="H247" s="99">
        <f t="shared" si="15"/>
        <v>1</v>
      </c>
      <c r="I247" s="99">
        <f t="shared" si="13"/>
        <v>35280000</v>
      </c>
      <c r="J247" s="99">
        <f t="shared" si="20"/>
        <v>0</v>
      </c>
      <c r="K247" s="99">
        <f t="shared" si="17"/>
        <v>35280000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72</v>
      </c>
      <c r="H248" s="99">
        <f t="shared" si="15"/>
        <v>1</v>
      </c>
      <c r="I248" s="99">
        <f t="shared" si="13"/>
        <v>99400000</v>
      </c>
      <c r="J248" s="99">
        <f t="shared" si="20"/>
        <v>0</v>
      </c>
      <c r="K248" s="99">
        <f t="shared" si="17"/>
        <v>99400000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72</v>
      </c>
      <c r="H249" s="99">
        <f t="shared" si="15"/>
        <v>0</v>
      </c>
      <c r="I249" s="99">
        <f t="shared" si="13"/>
        <v>-108000000</v>
      </c>
      <c r="J249" s="99">
        <f t="shared" si="20"/>
        <v>0</v>
      </c>
      <c r="K249" s="99">
        <f t="shared" si="17"/>
        <v>-108000000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71</v>
      </c>
      <c r="H250" s="99">
        <f t="shared" si="15"/>
        <v>0</v>
      </c>
      <c r="I250" s="99">
        <f t="shared" si="13"/>
        <v>-7100000</v>
      </c>
      <c r="J250" s="99">
        <f t="shared" si="20"/>
        <v>0</v>
      </c>
      <c r="K250" s="99">
        <f t="shared" si="17"/>
        <v>-7100000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70</v>
      </c>
      <c r="H251" s="99">
        <f t="shared" si="15"/>
        <v>0</v>
      </c>
      <c r="I251" s="99">
        <f t="shared" si="13"/>
        <v>-973000</v>
      </c>
      <c r="J251" s="99">
        <f t="shared" si="20"/>
        <v>0</v>
      </c>
      <c r="K251" s="99">
        <f t="shared" si="17"/>
        <v>-973000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70</v>
      </c>
      <c r="H252" s="99">
        <f t="shared" si="15"/>
        <v>1</v>
      </c>
      <c r="I252" s="99">
        <f t="shared" si="13"/>
        <v>20700000</v>
      </c>
      <c r="J252" s="99">
        <f t="shared" si="20"/>
        <v>0</v>
      </c>
      <c r="K252" s="99">
        <f t="shared" si="17"/>
        <v>20700000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68</v>
      </c>
      <c r="H253" s="99">
        <f t="shared" si="15"/>
        <v>1</v>
      </c>
      <c r="I253" s="99">
        <f t="shared" si="13"/>
        <v>804000000</v>
      </c>
      <c r="J253" s="99">
        <f t="shared" si="20"/>
        <v>0</v>
      </c>
      <c r="K253" s="99">
        <f t="shared" si="17"/>
        <v>804000000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67</v>
      </c>
      <c r="H254" s="99">
        <f t="shared" si="15"/>
        <v>1</v>
      </c>
      <c r="I254" s="99">
        <f t="shared" si="13"/>
        <v>198000000</v>
      </c>
      <c r="J254" s="99">
        <f t="shared" si="20"/>
        <v>0</v>
      </c>
      <c r="K254" s="99">
        <f t="shared" si="17"/>
        <v>198000000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66</v>
      </c>
      <c r="H255" s="99">
        <f t="shared" si="15"/>
        <v>0</v>
      </c>
      <c r="I255" s="99">
        <f t="shared" si="13"/>
        <v>-924000000</v>
      </c>
      <c r="J255" s="99">
        <f t="shared" si="20"/>
        <v>0</v>
      </c>
      <c r="K255" s="99">
        <f t="shared" si="17"/>
        <v>-924000000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65</v>
      </c>
      <c r="H256" s="99">
        <f t="shared" si="15"/>
        <v>0</v>
      </c>
      <c r="I256" s="99">
        <f t="shared" si="13"/>
        <v>-8122985</v>
      </c>
      <c r="J256" s="99">
        <f t="shared" si="20"/>
        <v>0</v>
      </c>
      <c r="K256" s="99">
        <f t="shared" si="17"/>
        <v>-8122985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65</v>
      </c>
      <c r="H257" s="99">
        <f t="shared" si="15"/>
        <v>0</v>
      </c>
      <c r="I257" s="99">
        <f t="shared" si="13"/>
        <v>0</v>
      </c>
      <c r="J257" s="99">
        <f t="shared" si="20"/>
        <v>-517971285</v>
      </c>
      <c r="K257" s="99">
        <f t="shared" si="17"/>
        <v>517971285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64</v>
      </c>
      <c r="H258" s="99">
        <f t="shared" si="15"/>
        <v>0</v>
      </c>
      <c r="I258" s="99">
        <f t="shared" si="13"/>
        <v>-84032000</v>
      </c>
      <c r="J258" s="99">
        <f t="shared" si="20"/>
        <v>0</v>
      </c>
      <c r="K258" s="99">
        <f t="shared" si="17"/>
        <v>-84032000</v>
      </c>
    </row>
    <row r="259" spans="1:13">
      <c r="A259" s="99" t="s">
        <v>4523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61</v>
      </c>
      <c r="H259" s="99">
        <f t="shared" si="15"/>
        <v>1</v>
      </c>
      <c r="I259" s="99">
        <f t="shared" si="13"/>
        <v>120000000</v>
      </c>
      <c r="J259" s="99">
        <f t="shared" si="20"/>
        <v>0</v>
      </c>
      <c r="K259" s="99">
        <f t="shared" si="17"/>
        <v>120000000</v>
      </c>
      <c r="M259" t="s">
        <v>25</v>
      </c>
    </row>
    <row r="260" spans="1:13">
      <c r="A260" s="99" t="s">
        <v>4524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60</v>
      </c>
      <c r="H260" s="99">
        <f t="shared" si="15"/>
        <v>0</v>
      </c>
      <c r="I260" s="99">
        <f t="shared" si="13"/>
        <v>-114000000</v>
      </c>
      <c r="J260" s="99">
        <f t="shared" si="20"/>
        <v>0</v>
      </c>
      <c r="K260" s="99">
        <f t="shared" si="17"/>
        <v>-114000000</v>
      </c>
    </row>
    <row r="261" spans="1:13">
      <c r="A261" s="99" t="s">
        <v>4524</v>
      </c>
      <c r="B261" s="18">
        <v>-100500</v>
      </c>
      <c r="C261" s="18">
        <v>0</v>
      </c>
      <c r="D261" s="18">
        <f t="shared" si="18"/>
        <v>-100500</v>
      </c>
      <c r="E261" s="99" t="s">
        <v>4526</v>
      </c>
      <c r="F261" s="99">
        <v>0</v>
      </c>
      <c r="G261" s="36">
        <f t="shared" si="21"/>
        <v>60</v>
      </c>
      <c r="H261" s="99">
        <f t="shared" si="15"/>
        <v>0</v>
      </c>
      <c r="I261" s="99">
        <f t="shared" si="13"/>
        <v>-6030000</v>
      </c>
      <c r="J261" s="99">
        <f t="shared" si="20"/>
        <v>0</v>
      </c>
      <c r="K261" s="99">
        <f t="shared" si="17"/>
        <v>-6030000</v>
      </c>
    </row>
    <row r="262" spans="1:13">
      <c r="A262" s="99" t="s">
        <v>4524</v>
      </c>
      <c r="B262" s="18">
        <v>-68670</v>
      </c>
      <c r="C262" s="18">
        <v>0</v>
      </c>
      <c r="D262" s="18">
        <f t="shared" si="18"/>
        <v>-68670</v>
      </c>
      <c r="E262" s="99" t="s">
        <v>4530</v>
      </c>
      <c r="F262" s="99">
        <v>1</v>
      </c>
      <c r="G262" s="36">
        <f t="shared" si="21"/>
        <v>60</v>
      </c>
      <c r="H262" s="99">
        <f t="shared" si="15"/>
        <v>0</v>
      </c>
      <c r="I262" s="99">
        <f t="shared" si="13"/>
        <v>-4120200</v>
      </c>
      <c r="J262" s="99">
        <f t="shared" si="20"/>
        <v>0</v>
      </c>
      <c r="K262" s="99">
        <f t="shared" si="17"/>
        <v>-4120200</v>
      </c>
    </row>
    <row r="263" spans="1:13">
      <c r="A263" s="99" t="s">
        <v>4527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59</v>
      </c>
      <c r="H263" s="99">
        <f t="shared" si="15"/>
        <v>0</v>
      </c>
      <c r="I263" s="99">
        <f t="shared" si="13"/>
        <v>-6997400</v>
      </c>
      <c r="J263" s="99">
        <f t="shared" si="20"/>
        <v>0</v>
      </c>
      <c r="K263" s="99">
        <f t="shared" si="17"/>
        <v>-6997400</v>
      </c>
      <c r="L263" t="s">
        <v>25</v>
      </c>
    </row>
    <row r="264" spans="1:13">
      <c r="A264" s="99" t="s">
        <v>4537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57</v>
      </c>
      <c r="H264" s="99">
        <f t="shared" si="15"/>
        <v>1</v>
      </c>
      <c r="I264" s="99">
        <f t="shared" si="13"/>
        <v>379624000</v>
      </c>
      <c r="J264" s="99">
        <f t="shared" si="20"/>
        <v>0</v>
      </c>
      <c r="K264" s="99">
        <f t="shared" si="17"/>
        <v>379624000</v>
      </c>
    </row>
    <row r="265" spans="1:13">
      <c r="A265" s="99" t="s">
        <v>4537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57</v>
      </c>
      <c r="H265" s="99">
        <f t="shared" si="15"/>
        <v>0</v>
      </c>
      <c r="I265" s="99">
        <f t="shared" si="13"/>
        <v>-364800000</v>
      </c>
      <c r="J265" s="99">
        <f t="shared" si="20"/>
        <v>0</v>
      </c>
      <c r="K265" s="99">
        <f t="shared" si="17"/>
        <v>-364800000</v>
      </c>
    </row>
    <row r="266" spans="1:13">
      <c r="A266" s="99" t="s">
        <v>4537</v>
      </c>
      <c r="B266" s="18">
        <v>-389000</v>
      </c>
      <c r="C266" s="18">
        <v>0</v>
      </c>
      <c r="D266" s="18">
        <f t="shared" si="18"/>
        <v>-389000</v>
      </c>
      <c r="E266" s="99" t="s">
        <v>4540</v>
      </c>
      <c r="F266" s="99">
        <v>4</v>
      </c>
      <c r="G266" s="36">
        <f t="shared" si="21"/>
        <v>57</v>
      </c>
      <c r="H266" s="99">
        <f t="shared" si="15"/>
        <v>0</v>
      </c>
      <c r="I266" s="99">
        <f t="shared" si="13"/>
        <v>-22173000</v>
      </c>
      <c r="J266" s="99">
        <f t="shared" si="20"/>
        <v>0</v>
      </c>
      <c r="K266" s="99">
        <f t="shared" si="17"/>
        <v>-22173000</v>
      </c>
      <c r="M266" t="s">
        <v>25</v>
      </c>
    </row>
    <row r="267" spans="1:13">
      <c r="A267" s="99" t="s">
        <v>4565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53</v>
      </c>
      <c r="H267" s="99">
        <f t="shared" si="15"/>
        <v>1</v>
      </c>
      <c r="I267" s="99">
        <f t="shared" si="13"/>
        <v>11440000</v>
      </c>
      <c r="J267" s="99">
        <f t="shared" si="20"/>
        <v>0</v>
      </c>
      <c r="K267" s="99">
        <f t="shared" si="17"/>
        <v>11440000</v>
      </c>
    </row>
    <row r="268" spans="1:13">
      <c r="A268" s="99" t="s">
        <v>4566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53</v>
      </c>
      <c r="H268" s="99">
        <f t="shared" si="15"/>
        <v>0</v>
      </c>
      <c r="I268" s="99">
        <f t="shared" si="13"/>
        <v>-5797670</v>
      </c>
      <c r="J268" s="99">
        <f t="shared" si="20"/>
        <v>0</v>
      </c>
      <c r="K268" s="99">
        <f t="shared" si="17"/>
        <v>-5797670</v>
      </c>
    </row>
    <row r="269" spans="1:13">
      <c r="A269" s="99" t="s">
        <v>4569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51</v>
      </c>
      <c r="H269" s="99">
        <f t="shared" si="15"/>
        <v>1</v>
      </c>
      <c r="I269" s="99">
        <f t="shared" si="13"/>
        <v>5000000</v>
      </c>
      <c r="J269" s="99">
        <f t="shared" si="20"/>
        <v>0</v>
      </c>
      <c r="K269" s="99">
        <f t="shared" si="17"/>
        <v>5000000</v>
      </c>
    </row>
    <row r="270" spans="1:13">
      <c r="A270" s="99" t="s">
        <v>4569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51</v>
      </c>
      <c r="H270" s="99">
        <f t="shared" si="15"/>
        <v>1</v>
      </c>
      <c r="I270" s="99">
        <f t="shared" si="13"/>
        <v>130000000</v>
      </c>
      <c r="J270" s="99">
        <f t="shared" si="20"/>
        <v>0</v>
      </c>
      <c r="K270" s="99">
        <f t="shared" si="17"/>
        <v>130000000</v>
      </c>
      <c r="L270" t="s">
        <v>25</v>
      </c>
    </row>
    <row r="271" spans="1:13">
      <c r="A271" s="99" t="s">
        <v>4572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50</v>
      </c>
      <c r="H271" s="99">
        <f t="shared" si="15"/>
        <v>1</v>
      </c>
      <c r="I271" s="99">
        <f t="shared" si="13"/>
        <v>215600000</v>
      </c>
      <c r="J271" s="99">
        <f t="shared" si="20"/>
        <v>0</v>
      </c>
      <c r="K271" s="99">
        <f t="shared" si="17"/>
        <v>215600000</v>
      </c>
    </row>
    <row r="272" spans="1:13">
      <c r="A272" s="99" t="s">
        <v>4572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50</v>
      </c>
      <c r="H272" s="99">
        <f t="shared" si="15"/>
        <v>0</v>
      </c>
      <c r="I272" s="99">
        <f t="shared" si="13"/>
        <v>-4750000</v>
      </c>
      <c r="J272" s="99">
        <f t="shared" si="20"/>
        <v>0</v>
      </c>
      <c r="K272" s="99">
        <f t="shared" si="17"/>
        <v>-4750000</v>
      </c>
    </row>
    <row r="273" spans="1:12">
      <c r="A273" s="99" t="s">
        <v>4577</v>
      </c>
      <c r="B273" s="18">
        <v>-900000</v>
      </c>
      <c r="C273" s="18">
        <v>0</v>
      </c>
      <c r="D273" s="18">
        <f t="shared" si="18"/>
        <v>-900000</v>
      </c>
      <c r="E273" s="99" t="s">
        <v>4583</v>
      </c>
      <c r="F273" s="99">
        <v>1</v>
      </c>
      <c r="G273" s="36">
        <f t="shared" si="21"/>
        <v>49</v>
      </c>
      <c r="H273" s="99">
        <f t="shared" si="15"/>
        <v>0</v>
      </c>
      <c r="I273" s="99">
        <f t="shared" si="13"/>
        <v>-44100000</v>
      </c>
      <c r="J273" s="99">
        <f t="shared" si="20"/>
        <v>0</v>
      </c>
      <c r="K273" s="99">
        <f t="shared" si="17"/>
        <v>-44100000</v>
      </c>
    </row>
    <row r="274" spans="1:12">
      <c r="A274" s="99" t="s">
        <v>4580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48</v>
      </c>
      <c r="H274" s="99">
        <f t="shared" si="15"/>
        <v>1</v>
      </c>
      <c r="I274" s="99">
        <f t="shared" si="13"/>
        <v>117500000</v>
      </c>
      <c r="J274" s="99">
        <f t="shared" si="20"/>
        <v>0</v>
      </c>
      <c r="K274" s="99">
        <f t="shared" si="17"/>
        <v>117500000</v>
      </c>
    </row>
    <row r="275" spans="1:12">
      <c r="A275" s="99" t="s">
        <v>4580</v>
      </c>
      <c r="B275" s="18">
        <v>-1287000</v>
      </c>
      <c r="C275" s="18">
        <v>0</v>
      </c>
      <c r="D275" s="18">
        <f t="shared" si="18"/>
        <v>-1287000</v>
      </c>
      <c r="E275" s="99" t="s">
        <v>4581</v>
      </c>
      <c r="F275" s="99">
        <v>2</v>
      </c>
      <c r="G275" s="36">
        <f t="shared" si="21"/>
        <v>48</v>
      </c>
      <c r="H275" s="99">
        <f t="shared" si="15"/>
        <v>0</v>
      </c>
      <c r="I275" s="99">
        <f t="shared" si="13"/>
        <v>-61776000</v>
      </c>
      <c r="J275" s="99">
        <f t="shared" si="20"/>
        <v>0</v>
      </c>
      <c r="K275" s="99">
        <f t="shared" si="17"/>
        <v>-61776000</v>
      </c>
    </row>
    <row r="276" spans="1:12">
      <c r="A276" s="99" t="s">
        <v>4578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46</v>
      </c>
      <c r="H276" s="99">
        <f t="shared" si="15"/>
        <v>1</v>
      </c>
      <c r="I276" s="99">
        <f t="shared" si="13"/>
        <v>171000000</v>
      </c>
      <c r="J276" s="99">
        <f t="shared" si="20"/>
        <v>0</v>
      </c>
      <c r="K276" s="99">
        <f t="shared" si="17"/>
        <v>171000000</v>
      </c>
    </row>
    <row r="277" spans="1:12">
      <c r="A277" s="99" t="s">
        <v>4590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45</v>
      </c>
      <c r="H277" s="99">
        <f t="shared" si="15"/>
        <v>1</v>
      </c>
      <c r="I277" s="99">
        <f t="shared" si="13"/>
        <v>924000000</v>
      </c>
      <c r="J277" s="99">
        <f t="shared" si="20"/>
        <v>0</v>
      </c>
      <c r="K277" s="99">
        <f t="shared" si="17"/>
        <v>924000000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44</v>
      </c>
      <c r="H278" s="99">
        <f t="shared" si="15"/>
        <v>1</v>
      </c>
      <c r="I278" s="99">
        <f t="shared" si="13"/>
        <v>129000000</v>
      </c>
      <c r="J278" s="99">
        <f t="shared" si="20"/>
        <v>0</v>
      </c>
      <c r="K278" s="99">
        <f t="shared" si="17"/>
        <v>129000000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44</v>
      </c>
      <c r="H279" s="99">
        <f t="shared" si="15"/>
        <v>1</v>
      </c>
      <c r="I279" s="99">
        <f t="shared" si="13"/>
        <v>86000000</v>
      </c>
      <c r="J279" s="99">
        <f t="shared" si="20"/>
        <v>0</v>
      </c>
      <c r="K279" s="99">
        <f t="shared" si="17"/>
        <v>86000000</v>
      </c>
    </row>
    <row r="280" spans="1:12">
      <c r="A280" s="99" t="s">
        <v>4596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43</v>
      </c>
      <c r="H280" s="99">
        <f t="shared" si="15"/>
        <v>0</v>
      </c>
      <c r="I280" s="99">
        <f t="shared" si="13"/>
        <v>-86000000</v>
      </c>
      <c r="J280" s="99">
        <f t="shared" si="20"/>
        <v>0</v>
      </c>
      <c r="K280" s="99">
        <f t="shared" si="17"/>
        <v>-86000000</v>
      </c>
    </row>
    <row r="281" spans="1:12">
      <c r="A281" s="99" t="s">
        <v>4598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42</v>
      </c>
      <c r="H281" s="99">
        <f t="shared" si="15"/>
        <v>0</v>
      </c>
      <c r="I281" s="99">
        <f t="shared" si="13"/>
        <v>-420000000</v>
      </c>
      <c r="J281" s="99">
        <f t="shared" si="20"/>
        <v>0</v>
      </c>
      <c r="K281" s="99">
        <f t="shared" si="17"/>
        <v>-420000000</v>
      </c>
    </row>
    <row r="282" spans="1:12">
      <c r="A282" s="99" t="s">
        <v>4600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38</v>
      </c>
      <c r="H282" s="99">
        <f t="shared" si="15"/>
        <v>0</v>
      </c>
      <c r="I282" s="99">
        <f t="shared" si="13"/>
        <v>-634600000</v>
      </c>
      <c r="J282" s="99">
        <f t="shared" ref="J282:J296" si="22">C282*(G282-H282)</f>
        <v>0</v>
      </c>
      <c r="K282" s="99">
        <f t="shared" ref="K282:K296" si="23">D282*(G282-H282)</f>
        <v>-634600000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36</v>
      </c>
      <c r="H283" s="99">
        <f t="shared" si="15"/>
        <v>1</v>
      </c>
      <c r="I283" s="99">
        <f t="shared" si="13"/>
        <v>420000000</v>
      </c>
      <c r="J283" s="99">
        <f t="shared" si="22"/>
        <v>0</v>
      </c>
      <c r="K283" s="99">
        <f t="shared" si="23"/>
        <v>420000000</v>
      </c>
    </row>
    <row r="284" spans="1:12">
      <c r="A284" s="99" t="s">
        <v>4614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35</v>
      </c>
      <c r="H284" s="99">
        <f t="shared" si="15"/>
        <v>1</v>
      </c>
      <c r="I284" s="99">
        <f t="shared" si="13"/>
        <v>64600000</v>
      </c>
      <c r="J284" s="99">
        <f t="shared" si="22"/>
        <v>0</v>
      </c>
      <c r="K284" s="99">
        <f t="shared" si="23"/>
        <v>64600000</v>
      </c>
    </row>
    <row r="285" spans="1:12">
      <c r="A285" s="99" t="s">
        <v>4614</v>
      </c>
      <c r="B285" s="18">
        <v>-3995000</v>
      </c>
      <c r="C285" s="18">
        <v>0</v>
      </c>
      <c r="D285" s="18">
        <f t="shared" si="18"/>
        <v>-3995000</v>
      </c>
      <c r="E285" s="99" t="s">
        <v>4616</v>
      </c>
      <c r="F285" s="99">
        <v>3</v>
      </c>
      <c r="G285" s="36">
        <f t="shared" si="21"/>
        <v>35</v>
      </c>
      <c r="H285" s="99">
        <f t="shared" si="15"/>
        <v>0</v>
      </c>
      <c r="I285" s="99">
        <f t="shared" si="13"/>
        <v>-139825000</v>
      </c>
      <c r="J285" s="99">
        <f t="shared" si="22"/>
        <v>0</v>
      </c>
      <c r="K285" s="99">
        <f t="shared" si="23"/>
        <v>-139825000</v>
      </c>
    </row>
    <row r="286" spans="1:12">
      <c r="A286" s="99" t="s">
        <v>4624</v>
      </c>
      <c r="B286" s="18">
        <v>-2010700</v>
      </c>
      <c r="C286" s="18">
        <v>0</v>
      </c>
      <c r="D286" s="18">
        <f t="shared" si="18"/>
        <v>-2010700</v>
      </c>
      <c r="E286" s="99" t="s">
        <v>4629</v>
      </c>
      <c r="F286" s="99">
        <v>0</v>
      </c>
      <c r="G286" s="36">
        <f t="shared" si="21"/>
        <v>32</v>
      </c>
      <c r="H286" s="99">
        <f t="shared" si="15"/>
        <v>0</v>
      </c>
      <c r="I286" s="99">
        <f t="shared" si="13"/>
        <v>-64342400</v>
      </c>
      <c r="J286" s="99">
        <f t="shared" si="22"/>
        <v>0</v>
      </c>
      <c r="K286" s="99">
        <f t="shared" si="23"/>
        <v>-64342400</v>
      </c>
    </row>
    <row r="287" spans="1:12">
      <c r="A287" s="99" t="s">
        <v>4624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32</v>
      </c>
      <c r="H287" s="99">
        <f t="shared" si="15"/>
        <v>0</v>
      </c>
      <c r="I287" s="99">
        <f t="shared" si="13"/>
        <v>-128000000</v>
      </c>
      <c r="J287" s="99">
        <f t="shared" si="22"/>
        <v>0</v>
      </c>
      <c r="K287" s="99">
        <f t="shared" si="23"/>
        <v>-128000000</v>
      </c>
    </row>
    <row r="288" spans="1:12">
      <c r="A288" s="99" t="s">
        <v>4630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31</v>
      </c>
      <c r="H288" s="99">
        <f t="shared" si="15"/>
        <v>0</v>
      </c>
      <c r="I288" s="99">
        <f t="shared" si="13"/>
        <v>-176700000</v>
      </c>
      <c r="J288" s="99">
        <f t="shared" si="22"/>
        <v>0</v>
      </c>
      <c r="K288" s="99">
        <f t="shared" si="23"/>
        <v>-176700000</v>
      </c>
      <c r="L288" t="s">
        <v>25</v>
      </c>
    </row>
    <row r="289" spans="1:13">
      <c r="A289" s="99" t="s">
        <v>4640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29</v>
      </c>
      <c r="H289" s="99">
        <f t="shared" si="15"/>
        <v>1</v>
      </c>
      <c r="I289" s="99">
        <f t="shared" si="13"/>
        <v>224000000</v>
      </c>
      <c r="J289" s="99">
        <f t="shared" si="22"/>
        <v>0</v>
      </c>
      <c r="K289" s="99">
        <f t="shared" si="23"/>
        <v>224000000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28</v>
      </c>
      <c r="H290" s="99">
        <f t="shared" si="15"/>
        <v>0</v>
      </c>
      <c r="I290" s="99">
        <f t="shared" si="13"/>
        <v>-224000000</v>
      </c>
      <c r="J290" s="99">
        <f t="shared" si="22"/>
        <v>0</v>
      </c>
      <c r="K290" s="99">
        <f t="shared" si="23"/>
        <v>-224000000</v>
      </c>
    </row>
    <row r="291" spans="1:13">
      <c r="A291" s="99" t="s">
        <v>4645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25</v>
      </c>
      <c r="H291" s="99">
        <f t="shared" si="15"/>
        <v>0</v>
      </c>
      <c r="I291" s="99">
        <f t="shared" si="13"/>
        <v>-150000000</v>
      </c>
      <c r="J291" s="99">
        <f t="shared" si="22"/>
        <v>0</v>
      </c>
      <c r="K291" s="99">
        <f t="shared" si="23"/>
        <v>-150000000</v>
      </c>
    </row>
    <row r="292" spans="1:13">
      <c r="A292" s="99" t="s">
        <v>4645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25</v>
      </c>
      <c r="H292" s="99">
        <f t="shared" si="15"/>
        <v>0</v>
      </c>
      <c r="I292" s="99">
        <f t="shared" si="13"/>
        <v>-1932875</v>
      </c>
      <c r="J292" s="99">
        <f t="shared" si="22"/>
        <v>0</v>
      </c>
      <c r="K292" s="99">
        <f t="shared" si="23"/>
        <v>-1932875</v>
      </c>
    </row>
    <row r="293" spans="1:13">
      <c r="A293" s="99" t="s">
        <v>4651</v>
      </c>
      <c r="B293" s="18">
        <v>-96850</v>
      </c>
      <c r="C293" s="18">
        <v>0</v>
      </c>
      <c r="D293" s="18">
        <f t="shared" si="18"/>
        <v>-96850</v>
      </c>
      <c r="E293" s="99" t="s">
        <v>4658</v>
      </c>
      <c r="F293" s="99">
        <v>2</v>
      </c>
      <c r="G293" s="36">
        <f t="shared" si="21"/>
        <v>24</v>
      </c>
      <c r="H293" s="99">
        <f t="shared" si="15"/>
        <v>0</v>
      </c>
      <c r="I293" s="99">
        <f t="shared" si="13"/>
        <v>-2324400</v>
      </c>
      <c r="J293" s="99">
        <f t="shared" si="22"/>
        <v>0</v>
      </c>
      <c r="K293" s="99">
        <f t="shared" si="23"/>
        <v>-2324400</v>
      </c>
    </row>
    <row r="294" spans="1:13">
      <c r="A294" s="99" t="s">
        <v>4662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22</v>
      </c>
      <c r="H294" s="99">
        <f t="shared" si="15"/>
        <v>0</v>
      </c>
      <c r="I294" s="99">
        <f t="shared" si="13"/>
        <v>-990000</v>
      </c>
      <c r="J294" s="99">
        <f t="shared" si="22"/>
        <v>0</v>
      </c>
      <c r="K294" s="99">
        <f t="shared" si="23"/>
        <v>-990000</v>
      </c>
    </row>
    <row r="295" spans="1:13">
      <c r="A295" s="99" t="s">
        <v>4662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22</v>
      </c>
      <c r="H295" s="99">
        <f t="shared" si="15"/>
        <v>0</v>
      </c>
      <c r="I295" s="99">
        <f t="shared" si="13"/>
        <v>-1052656</v>
      </c>
      <c r="J295" s="99">
        <f t="shared" si="22"/>
        <v>0</v>
      </c>
      <c r="K295" s="99">
        <f t="shared" si="23"/>
        <v>-1052656</v>
      </c>
      <c r="M295" t="s">
        <v>25</v>
      </c>
    </row>
    <row r="296" spans="1:13">
      <c r="A296" s="99" t="s">
        <v>4678</v>
      </c>
      <c r="B296" s="18">
        <v>-200000</v>
      </c>
      <c r="C296" s="18">
        <v>0</v>
      </c>
      <c r="D296" s="18">
        <f t="shared" si="18"/>
        <v>-200000</v>
      </c>
      <c r="E296" s="99" t="s">
        <v>4679</v>
      </c>
      <c r="F296" s="99">
        <v>3</v>
      </c>
      <c r="G296" s="36">
        <f t="shared" si="21"/>
        <v>21</v>
      </c>
      <c r="H296" s="99">
        <f t="shared" si="15"/>
        <v>0</v>
      </c>
      <c r="I296" s="99">
        <f t="shared" si="13"/>
        <v>-4200000</v>
      </c>
      <c r="J296" s="99">
        <f t="shared" si="22"/>
        <v>0</v>
      </c>
      <c r="K296" s="99">
        <f t="shared" si="23"/>
        <v>-4200000</v>
      </c>
    </row>
    <row r="297" spans="1:13">
      <c r="A297" s="99" t="s">
        <v>4690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18</v>
      </c>
      <c r="H297" s="99">
        <f t="shared" si="15"/>
        <v>0</v>
      </c>
      <c r="I297" s="99">
        <f t="shared" ref="I297:I308" si="24">B297*(G297-H297)</f>
        <v>-1088280</v>
      </c>
      <c r="J297" s="99">
        <f t="shared" ref="J297:J308" si="25">C297*(G297-H297)</f>
        <v>0</v>
      </c>
      <c r="K297" s="99">
        <f t="shared" ref="K297:K308" si="26">D297*(G297-H297)</f>
        <v>-1088280</v>
      </c>
    </row>
    <row r="298" spans="1:13">
      <c r="A298" s="99" t="s">
        <v>4696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07" si="27">G299+F298</f>
        <v>17</v>
      </c>
      <c r="H298" s="99">
        <f t="shared" si="15"/>
        <v>0</v>
      </c>
      <c r="I298" s="99">
        <f t="shared" si="24"/>
        <v>-1020000</v>
      </c>
      <c r="J298" s="99">
        <f t="shared" si="25"/>
        <v>0</v>
      </c>
      <c r="K298" s="99">
        <f t="shared" si="26"/>
        <v>-1020000</v>
      </c>
    </row>
    <row r="299" spans="1:13">
      <c r="A299" s="99" t="s">
        <v>4696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17</v>
      </c>
      <c r="H299" s="99">
        <f t="shared" si="15"/>
        <v>1</v>
      </c>
      <c r="I299" s="99">
        <f t="shared" si="24"/>
        <v>38400000</v>
      </c>
      <c r="J299" s="99">
        <f t="shared" si="25"/>
        <v>0</v>
      </c>
      <c r="K299" s="99">
        <f t="shared" si="26"/>
        <v>38400000</v>
      </c>
    </row>
    <row r="300" spans="1:13">
      <c r="A300" s="99" t="s">
        <v>4696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17</v>
      </c>
      <c r="H300" s="99">
        <f t="shared" si="15"/>
        <v>0</v>
      </c>
      <c r="I300" s="99">
        <f t="shared" si="24"/>
        <v>-2331771</v>
      </c>
      <c r="J300" s="99">
        <f t="shared" si="25"/>
        <v>0</v>
      </c>
      <c r="K300" s="99">
        <f t="shared" si="26"/>
        <v>-2331771</v>
      </c>
      <c r="L300" t="s">
        <v>25</v>
      </c>
      <c r="M300" t="s">
        <v>25</v>
      </c>
    </row>
    <row r="301" spans="1:13">
      <c r="A301" s="99" t="s">
        <v>4696</v>
      </c>
      <c r="B301" s="18">
        <v>-51400</v>
      </c>
      <c r="C301" s="18">
        <v>0</v>
      </c>
      <c r="D301" s="18">
        <f t="shared" si="18"/>
        <v>-51400</v>
      </c>
      <c r="E301" s="99" t="s">
        <v>4703</v>
      </c>
      <c r="F301" s="99">
        <v>1</v>
      </c>
      <c r="G301" s="36">
        <f t="shared" si="27"/>
        <v>17</v>
      </c>
      <c r="H301" s="99">
        <f t="shared" si="15"/>
        <v>0</v>
      </c>
      <c r="I301" s="99">
        <f t="shared" si="24"/>
        <v>-873800</v>
      </c>
      <c r="J301" s="99">
        <f t="shared" si="25"/>
        <v>0</v>
      </c>
      <c r="K301" s="99">
        <f t="shared" si="26"/>
        <v>-873800</v>
      </c>
    </row>
    <row r="302" spans="1:13">
      <c r="A302" s="99" t="s">
        <v>4706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16</v>
      </c>
      <c r="H302" s="99">
        <f t="shared" si="15"/>
        <v>0</v>
      </c>
      <c r="I302" s="99">
        <f t="shared" si="24"/>
        <v>-36000000</v>
      </c>
      <c r="J302" s="99">
        <f t="shared" si="25"/>
        <v>0</v>
      </c>
      <c r="K302" s="99">
        <f t="shared" si="26"/>
        <v>-36000000</v>
      </c>
      <c r="M302" t="s">
        <v>25</v>
      </c>
    </row>
    <row r="303" spans="1:13">
      <c r="A303" s="99" t="s">
        <v>4706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16</v>
      </c>
      <c r="H303" s="99">
        <f t="shared" si="15"/>
        <v>1</v>
      </c>
      <c r="I303" s="99">
        <f t="shared" si="24"/>
        <v>10500000</v>
      </c>
      <c r="J303" s="99">
        <f t="shared" si="25"/>
        <v>0</v>
      </c>
      <c r="K303" s="99">
        <f t="shared" si="26"/>
        <v>10500000</v>
      </c>
    </row>
    <row r="304" spans="1:13">
      <c r="A304" s="99" t="s">
        <v>4740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0</v>
      </c>
      <c r="G304" s="36">
        <f t="shared" si="27"/>
        <v>14</v>
      </c>
      <c r="H304" s="99">
        <f t="shared" si="15"/>
        <v>1</v>
      </c>
      <c r="I304" s="99">
        <f t="shared" si="24"/>
        <v>7410000</v>
      </c>
      <c r="J304" s="99">
        <f t="shared" si="25"/>
        <v>0</v>
      </c>
      <c r="K304" s="99">
        <f t="shared" si="26"/>
        <v>7410000</v>
      </c>
    </row>
    <row r="305" spans="1:13">
      <c r="A305" s="99" t="s">
        <v>4740</v>
      </c>
      <c r="B305" s="18">
        <v>-276773</v>
      </c>
      <c r="C305" s="18">
        <v>0</v>
      </c>
      <c r="D305" s="18">
        <f t="shared" si="18"/>
        <v>-276773</v>
      </c>
      <c r="E305" s="99" t="s">
        <v>4747</v>
      </c>
      <c r="F305" s="99">
        <v>2</v>
      </c>
      <c r="G305" s="36">
        <f t="shared" si="27"/>
        <v>14</v>
      </c>
      <c r="H305" s="99">
        <f t="shared" si="15"/>
        <v>0</v>
      </c>
      <c r="I305" s="99">
        <f t="shared" si="24"/>
        <v>-3874822</v>
      </c>
      <c r="J305" s="99">
        <f t="shared" si="25"/>
        <v>0</v>
      </c>
      <c r="K305" s="99">
        <f t="shared" si="26"/>
        <v>-3874822</v>
      </c>
    </row>
    <row r="306" spans="1:13">
      <c r="A306" s="99" t="s">
        <v>4748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12</v>
      </c>
      <c r="H306" s="99">
        <f t="shared" si="15"/>
        <v>0</v>
      </c>
      <c r="I306" s="99">
        <f t="shared" si="24"/>
        <v>-1376520</v>
      </c>
      <c r="J306" s="99">
        <f t="shared" si="25"/>
        <v>0</v>
      </c>
      <c r="K306" s="99">
        <f t="shared" si="26"/>
        <v>-1376520</v>
      </c>
      <c r="M306" t="s">
        <v>25</v>
      </c>
    </row>
    <row r="307" spans="1:13">
      <c r="A307" s="99" t="s">
        <v>4764</v>
      </c>
      <c r="B307" s="18">
        <v>-1000</v>
      </c>
      <c r="C307" s="18">
        <v>0</v>
      </c>
      <c r="D307" s="18">
        <f t="shared" si="18"/>
        <v>-1000</v>
      </c>
      <c r="E307" s="99" t="s">
        <v>3771</v>
      </c>
      <c r="F307" s="99">
        <v>1</v>
      </c>
      <c r="G307" s="36">
        <f t="shared" si="27"/>
        <v>8</v>
      </c>
      <c r="H307" s="99">
        <f t="shared" si="15"/>
        <v>0</v>
      </c>
      <c r="I307" s="99">
        <f t="shared" si="24"/>
        <v>-8000</v>
      </c>
      <c r="J307" s="99">
        <f t="shared" si="25"/>
        <v>0</v>
      </c>
      <c r="K307" s="99">
        <f t="shared" si="26"/>
        <v>-8000</v>
      </c>
    </row>
    <row r="308" spans="1:13">
      <c r="A308" s="99" t="s">
        <v>4771</v>
      </c>
      <c r="B308" s="18">
        <v>250000</v>
      </c>
      <c r="C308" s="18">
        <v>0</v>
      </c>
      <c r="D308" s="18">
        <f t="shared" si="18"/>
        <v>250000</v>
      </c>
      <c r="E308" s="99" t="s">
        <v>3892</v>
      </c>
      <c r="F308" s="99">
        <v>0</v>
      </c>
      <c r="G308" s="36">
        <f>G309+F308</f>
        <v>7</v>
      </c>
      <c r="H308" s="99">
        <f t="shared" si="15"/>
        <v>1</v>
      </c>
      <c r="I308" s="99">
        <f t="shared" si="24"/>
        <v>1500000</v>
      </c>
      <c r="J308" s="99">
        <f t="shared" si="25"/>
        <v>0</v>
      </c>
      <c r="K308" s="99">
        <f t="shared" si="26"/>
        <v>1500000</v>
      </c>
    </row>
    <row r="309" spans="1:13">
      <c r="A309" s="99" t="s">
        <v>4771</v>
      </c>
      <c r="B309" s="18">
        <v>-55120</v>
      </c>
      <c r="C309" s="18">
        <v>0</v>
      </c>
      <c r="D309" s="18">
        <f t="shared" si="18"/>
        <v>-55120</v>
      </c>
      <c r="E309" s="99" t="s">
        <v>4015</v>
      </c>
      <c r="F309" s="99">
        <v>3</v>
      </c>
      <c r="G309" s="36">
        <f t="shared" ref="G309:G325" si="28">G310+F309</f>
        <v>7</v>
      </c>
      <c r="H309" s="99">
        <f t="shared" ref="H309:H325" si="29">IF(B309&gt;0,1,0)</f>
        <v>0</v>
      </c>
      <c r="I309" s="99">
        <f t="shared" ref="I309:I325" si="30">B309*(G309-H309)</f>
        <v>-385840</v>
      </c>
      <c r="J309" s="99">
        <f t="shared" ref="J309:J325" si="31">C309*(G309-H309)</f>
        <v>0</v>
      </c>
      <c r="K309" s="99">
        <f t="shared" ref="K309:K325" si="32">D309*(G309-H309)</f>
        <v>-385840</v>
      </c>
    </row>
    <row r="310" spans="1:13">
      <c r="A310" s="99" t="s">
        <v>4786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</v>
      </c>
      <c r="H310" s="99">
        <f t="shared" si="29"/>
        <v>0</v>
      </c>
      <c r="I310" s="99">
        <f t="shared" si="30"/>
        <v>-460000</v>
      </c>
      <c r="J310" s="99">
        <f t="shared" si="31"/>
        <v>0</v>
      </c>
      <c r="K310" s="99">
        <f t="shared" si="32"/>
        <v>-460000</v>
      </c>
    </row>
    <row r="311" spans="1:13">
      <c r="A311" s="99" t="s">
        <v>4774</v>
      </c>
      <c r="B311" s="18">
        <v>-214549</v>
      </c>
      <c r="C311" s="18">
        <v>0</v>
      </c>
      <c r="D311" s="18">
        <f t="shared" si="18"/>
        <v>-214549</v>
      </c>
      <c r="E311" s="99" t="s">
        <v>3928</v>
      </c>
      <c r="F311" s="99">
        <v>2</v>
      </c>
      <c r="G311" s="36">
        <f t="shared" si="28"/>
        <v>3</v>
      </c>
      <c r="H311" s="99">
        <f t="shared" si="29"/>
        <v>0</v>
      </c>
      <c r="I311" s="99">
        <f t="shared" si="30"/>
        <v>-643647</v>
      </c>
      <c r="J311" s="99">
        <f t="shared" si="31"/>
        <v>0</v>
      </c>
      <c r="K311" s="99">
        <f t="shared" si="32"/>
        <v>-643647</v>
      </c>
      <c r="L311" t="s">
        <v>25</v>
      </c>
    </row>
    <row r="312" spans="1:13">
      <c r="A312" s="99" t="s">
        <v>4776</v>
      </c>
      <c r="B312" s="18">
        <v>-324747</v>
      </c>
      <c r="C312" s="18">
        <v>0</v>
      </c>
      <c r="D312" s="18">
        <f t="shared" si="18"/>
        <v>-324747</v>
      </c>
      <c r="E312" s="99" t="s">
        <v>4787</v>
      </c>
      <c r="F312" s="99">
        <v>1</v>
      </c>
      <c r="G312" s="36">
        <f t="shared" si="28"/>
        <v>1</v>
      </c>
      <c r="H312" s="99">
        <f t="shared" si="29"/>
        <v>0</v>
      </c>
      <c r="I312" s="99">
        <f t="shared" si="30"/>
        <v>-324747</v>
      </c>
      <c r="J312" s="99">
        <f t="shared" si="31"/>
        <v>0</v>
      </c>
      <c r="K312" s="99">
        <f t="shared" si="32"/>
        <v>-324747</v>
      </c>
      <c r="M312" t="s">
        <v>25</v>
      </c>
    </row>
    <row r="313" spans="1:13">
      <c r="A313" s="99"/>
      <c r="B313" s="18"/>
      <c r="C313" s="18"/>
      <c r="D313" s="18"/>
      <c r="E313" s="99"/>
      <c r="F313" s="99"/>
      <c r="G313" s="36">
        <f t="shared" si="28"/>
        <v>0</v>
      </c>
      <c r="H313" s="99">
        <f t="shared" si="29"/>
        <v>0</v>
      </c>
      <c r="I313" s="99">
        <f t="shared" si="30"/>
        <v>0</v>
      </c>
      <c r="J313" s="99">
        <f t="shared" si="31"/>
        <v>0</v>
      </c>
      <c r="K313" s="99">
        <f t="shared" si="32"/>
        <v>0</v>
      </c>
    </row>
    <row r="314" spans="1:13">
      <c r="A314" s="99"/>
      <c r="B314" s="18"/>
      <c r="C314" s="18"/>
      <c r="D314" s="18"/>
      <c r="E314" s="99"/>
      <c r="F314" s="99"/>
      <c r="G314" s="36">
        <f t="shared" si="28"/>
        <v>0</v>
      </c>
      <c r="H314" s="99">
        <f t="shared" si="29"/>
        <v>0</v>
      </c>
      <c r="I314" s="99">
        <f t="shared" si="30"/>
        <v>0</v>
      </c>
      <c r="J314" s="99">
        <f t="shared" si="31"/>
        <v>0</v>
      </c>
      <c r="K314" s="99">
        <f t="shared" si="32"/>
        <v>0</v>
      </c>
    </row>
    <row r="315" spans="1:13">
      <c r="A315" s="99"/>
      <c r="B315" s="18"/>
      <c r="C315" s="18"/>
      <c r="D315" s="18"/>
      <c r="E315" s="99"/>
      <c r="F315" s="99"/>
      <c r="G315" s="36">
        <f t="shared" si="28"/>
        <v>0</v>
      </c>
      <c r="H315" s="99">
        <f t="shared" si="29"/>
        <v>0</v>
      </c>
      <c r="I315" s="99">
        <f t="shared" si="30"/>
        <v>0</v>
      </c>
      <c r="J315" s="99">
        <f t="shared" si="31"/>
        <v>0</v>
      </c>
      <c r="K315" s="99">
        <f t="shared" si="32"/>
        <v>0</v>
      </c>
    </row>
    <row r="316" spans="1:13">
      <c r="A316" s="99"/>
      <c r="B316" s="18"/>
      <c r="C316" s="18"/>
      <c r="D316" s="18"/>
      <c r="E316" s="99"/>
      <c r="F316" s="99"/>
      <c r="G316" s="36">
        <f t="shared" si="28"/>
        <v>0</v>
      </c>
      <c r="H316" s="99">
        <f t="shared" si="29"/>
        <v>0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B326" s="29">
        <f>SUM(B2:B325)</f>
        <v>522406</v>
      </c>
      <c r="C326" s="29">
        <f>SUM(C2:C325)</f>
        <v>0</v>
      </c>
      <c r="D326" s="29">
        <f>SUM(D2:D325)</f>
        <v>522406</v>
      </c>
      <c r="E326" s="11"/>
      <c r="F326" s="11"/>
      <c r="G326" s="11"/>
      <c r="H326" s="11"/>
      <c r="I326" s="29">
        <f>SUM(I2:I325)</f>
        <v>19185132348</v>
      </c>
      <c r="J326" s="29">
        <f>SUM(J2:J325)</f>
        <v>8687685429</v>
      </c>
      <c r="K326" s="29">
        <f>SUM(K2:K325)</f>
        <v>10497446919</v>
      </c>
    </row>
    <row r="327" spans="1:11"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B329" s="11"/>
      <c r="C329" s="11"/>
      <c r="D329" s="11"/>
      <c r="E329" s="11"/>
      <c r="F329" s="11"/>
      <c r="G329" s="11"/>
      <c r="H329" s="11"/>
      <c r="I329" s="3">
        <f>I326/G2</f>
        <v>18464997.447545718</v>
      </c>
      <c r="J329" s="29">
        <f>J326/G2</f>
        <v>8361583.6660250239</v>
      </c>
      <c r="K329" s="29">
        <f>K326/G2</f>
        <v>10103413.781520693</v>
      </c>
    </row>
    <row r="330" spans="1:11"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1719045</v>
      </c>
      <c r="G333" t="s">
        <v>25</v>
      </c>
      <c r="J333">
        <f>J326/I326*1448696</f>
        <v>656019.19767640391</v>
      </c>
      <c r="K333">
        <f>K326/I326*1448696</f>
        <v>792676.80232359609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4590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4170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4170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4523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4524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4524</v>
      </c>
      <c r="B25" s="18">
        <v>-100500</v>
      </c>
      <c r="C25" s="18">
        <v>0</v>
      </c>
      <c r="D25" s="113">
        <f t="shared" si="0"/>
        <v>-100500</v>
      </c>
      <c r="E25" s="19" t="s">
        <v>4526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4524</v>
      </c>
      <c r="B26" s="18">
        <v>-68670</v>
      </c>
      <c r="C26" s="18">
        <v>0</v>
      </c>
      <c r="D26" s="113">
        <f t="shared" si="0"/>
        <v>-68670</v>
      </c>
      <c r="E26" s="19" t="s">
        <v>4530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4527</v>
      </c>
      <c r="B27" s="18">
        <v>-118600</v>
      </c>
      <c r="C27" s="18">
        <v>0</v>
      </c>
      <c r="D27" s="113">
        <f t="shared" si="0"/>
        <v>-118600</v>
      </c>
      <c r="E27" s="19" t="s">
        <v>4532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4537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4537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4537</v>
      </c>
      <c r="B30" s="18">
        <v>-389000</v>
      </c>
      <c r="C30" s="18">
        <v>0</v>
      </c>
      <c r="D30" s="113">
        <f t="shared" si="0"/>
        <v>-389000</v>
      </c>
      <c r="E30" s="19" t="s">
        <v>4539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4170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4565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4565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4569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4569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4572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4572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4577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4580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4580</v>
      </c>
      <c r="B11" s="18">
        <v>-1287000</v>
      </c>
      <c r="C11" s="18">
        <v>0</v>
      </c>
      <c r="D11" s="113">
        <f t="shared" si="0"/>
        <v>-1287000</v>
      </c>
      <c r="E11" s="19" t="s">
        <v>4581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4577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4578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4590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4596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4598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4600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4610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4614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4616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4523</v>
      </c>
      <c r="B23" s="18">
        <v>-2010700</v>
      </c>
      <c r="C23" s="18">
        <v>0</v>
      </c>
      <c r="D23" s="113">
        <f t="shared" si="0"/>
        <v>-2010700</v>
      </c>
      <c r="E23" s="19" t="s">
        <v>4627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4624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4630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4640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4645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4645</v>
      </c>
      <c r="B29" s="18">
        <v>-77315</v>
      </c>
      <c r="C29" s="18">
        <v>0</v>
      </c>
      <c r="D29" s="113">
        <f t="shared" si="0"/>
        <v>-77315</v>
      </c>
      <c r="E29" s="19" t="s">
        <v>4649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4651</v>
      </c>
      <c r="B30" s="18">
        <v>-66850</v>
      </c>
      <c r="C30" s="18">
        <v>0</v>
      </c>
      <c r="D30" s="113">
        <f t="shared" si="0"/>
        <v>-66850</v>
      </c>
      <c r="E30" s="19" t="s">
        <v>4657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4651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4656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4223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4232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4225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4234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4229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4237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4356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4281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4282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6" t="s">
        <v>1089</v>
      </c>
      <c r="R21" s="226"/>
      <c r="S21" s="226"/>
      <c r="T21" s="226"/>
      <c r="U21" s="96"/>
      <c r="V21" s="96"/>
      <c r="W21" s="96"/>
      <c r="X21" s="96"/>
      <c r="Y21" s="96"/>
      <c r="Z21" s="96"/>
    </row>
    <row r="22" spans="5:35">
      <c r="O22" s="99"/>
      <c r="P22" s="99"/>
      <c r="Q22" s="226"/>
      <c r="R22" s="226"/>
      <c r="S22" s="226"/>
      <c r="T22" s="226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4087</v>
      </c>
      <c r="Q23" s="227" t="s">
        <v>1090</v>
      </c>
      <c r="R23" s="228" t="s">
        <v>1091</v>
      </c>
      <c r="S23" s="227" t="s">
        <v>1092</v>
      </c>
      <c r="T23" s="229" t="s">
        <v>1093</v>
      </c>
      <c r="AD23" t="s">
        <v>25</v>
      </c>
    </row>
    <row r="24" spans="5:35">
      <c r="O24" s="99"/>
      <c r="P24" s="99"/>
      <c r="Q24" s="227"/>
      <c r="R24" s="228"/>
      <c r="S24" s="227"/>
      <c r="T24" s="229"/>
    </row>
    <row r="25" spans="5:35">
      <c r="O25" s="173" t="s">
        <v>4143</v>
      </c>
      <c r="P25" s="173">
        <v>2182188507</v>
      </c>
      <c r="Q25" s="174" t="s">
        <v>1094</v>
      </c>
      <c r="R25" s="174" t="s">
        <v>4088</v>
      </c>
      <c r="S25" s="174" t="s">
        <v>4093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4204</v>
      </c>
      <c r="P27" s="173">
        <v>2188831909</v>
      </c>
      <c r="Q27" s="99" t="s">
        <v>4090</v>
      </c>
      <c r="R27" s="99" t="s">
        <v>4091</v>
      </c>
      <c r="S27" s="99" t="s">
        <v>4092</v>
      </c>
      <c r="T27" s="176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4590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4607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4608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4609</v>
      </c>
      <c r="J263" t="s">
        <v>25</v>
      </c>
      <c r="K263" t="s">
        <v>25</v>
      </c>
    </row>
    <row r="264" spans="1:11">
      <c r="A264" s="99" t="s">
        <v>4603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4638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4637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4624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4640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4645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4645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4662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4556</v>
      </c>
      <c r="B1" t="s">
        <v>4559</v>
      </c>
      <c r="C1" t="s">
        <v>4560</v>
      </c>
    </row>
    <row r="2" spans="1:3">
      <c r="A2" t="s">
        <v>4557</v>
      </c>
      <c r="B2" t="s">
        <v>4561</v>
      </c>
      <c r="C2" t="s">
        <v>4562</v>
      </c>
    </row>
    <row r="3" spans="1:3">
      <c r="A3" t="s">
        <v>4558</v>
      </c>
      <c r="B3" t="s">
        <v>4560</v>
      </c>
      <c r="C3" t="s">
        <v>4563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89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4590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6"/>
  <sheetViews>
    <sheetView tabSelected="1" topLeftCell="J90" zoomScaleNormal="100" workbookViewId="0">
      <selection activeCell="AA52" sqref="AA5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8" t="s">
        <v>1117</v>
      </c>
      <c r="Q14" s="168" t="s">
        <v>4370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8" t="s">
        <v>451</v>
      </c>
      <c r="L15" s="168" t="s">
        <v>452</v>
      </c>
      <c r="M15" s="168"/>
      <c r="N15" s="168" t="s">
        <v>751</v>
      </c>
      <c r="P15" s="169">
        <v>4400000</v>
      </c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8" t="s">
        <v>453</v>
      </c>
      <c r="L17" s="117">
        <f>'مسکن علی سید الشهدا'!B85</f>
        <v>122903</v>
      </c>
      <c r="M17" s="168" t="s">
        <v>657</v>
      </c>
      <c r="N17" s="113">
        <f>سارا!D326</f>
        <v>522406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8" t="s">
        <v>683</v>
      </c>
      <c r="L18" s="117">
        <v>1000000</v>
      </c>
      <c r="M18" s="168" t="s">
        <v>4079</v>
      </c>
      <c r="N18" s="113">
        <v>35695</v>
      </c>
      <c r="Q18" s="168" t="s">
        <v>4294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8"/>
      <c r="L20" s="117"/>
      <c r="M20" s="168" t="s">
        <v>4465</v>
      </c>
      <c r="N20" s="113">
        <v>144694</v>
      </c>
      <c r="O20" s="99" t="s">
        <v>937</v>
      </c>
      <c r="P20" s="99" t="s">
        <v>3930</v>
      </c>
      <c r="Q20" s="169">
        <v>9268987</v>
      </c>
      <c r="R20" s="168" t="s">
        <v>4173</v>
      </c>
      <c r="S20" s="193">
        <f>S60</f>
        <v>142</v>
      </c>
      <c r="T20" s="168" t="s">
        <v>4310</v>
      </c>
      <c r="U20" s="168">
        <v>192.1</v>
      </c>
      <c r="V20" s="168">
        <f t="shared" ref="V20:V35" si="6">U20*(1+$N$89+$Q$15*S20/36500)</f>
        <v>215.17726246575344</v>
      </c>
      <c r="W20" s="32">
        <f t="shared" ref="W20:W35" si="7">V20*(1+$W$19/100)</f>
        <v>219.48080771506852</v>
      </c>
      <c r="X20" s="32">
        <f t="shared" ref="X20:X35" si="8">V20*(1+$X$19/100)</f>
        <v>223.7843529643836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8" t="s">
        <v>4478</v>
      </c>
      <c r="L21" s="117">
        <f>-N34</f>
        <v>201153138.2972464</v>
      </c>
      <c r="M21" s="168" t="s">
        <v>4302</v>
      </c>
      <c r="N21" s="113">
        <f>O21*P21</f>
        <v>12262172.5</v>
      </c>
      <c r="O21" s="99">
        <v>73207</v>
      </c>
      <c r="P21" s="187">
        <f>P56</f>
        <v>167.5</v>
      </c>
      <c r="Q21" s="169">
        <v>1450345</v>
      </c>
      <c r="R21" s="168" t="s">
        <v>4306</v>
      </c>
      <c r="S21" s="193">
        <f>S20-35</f>
        <v>107</v>
      </c>
      <c r="T21" s="168" t="s">
        <v>4311</v>
      </c>
      <c r="U21" s="168">
        <v>313.7</v>
      </c>
      <c r="V21" s="168">
        <f t="shared" si="6"/>
        <v>342.96262356164385</v>
      </c>
      <c r="W21" s="32">
        <f t="shared" si="7"/>
        <v>349.82187603287673</v>
      </c>
      <c r="X21" s="32">
        <f t="shared" si="8"/>
        <v>356.68112850410961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313</v>
      </c>
      <c r="AM21" s="113">
        <f t="shared" ref="AM21:AM120" si="10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4481</v>
      </c>
      <c r="L22" s="117">
        <f>-'بهمن 97'!D60</f>
        <v>-850416</v>
      </c>
      <c r="M22" s="168" t="s">
        <v>4314</v>
      </c>
      <c r="N22" s="113">
        <f>O22*P22</f>
        <v>8183498.4000000004</v>
      </c>
      <c r="O22" s="99">
        <v>28504</v>
      </c>
      <c r="P22" s="187">
        <f>P53</f>
        <v>287.10000000000002</v>
      </c>
      <c r="Q22" s="169">
        <v>400069</v>
      </c>
      <c r="R22" s="168" t="s">
        <v>4312</v>
      </c>
      <c r="S22" s="193">
        <f>S21-1</f>
        <v>106</v>
      </c>
      <c r="T22" s="168" t="s">
        <v>4313</v>
      </c>
      <c r="U22" s="168">
        <v>314.8</v>
      </c>
      <c r="V22" s="168">
        <f t="shared" si="6"/>
        <v>343.9237435616439</v>
      </c>
      <c r="W22" s="32">
        <f t="shared" si="7"/>
        <v>350.80221843287677</v>
      </c>
      <c r="X22" s="32">
        <f t="shared" si="8"/>
        <v>357.6806933041097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312</v>
      </c>
      <c r="AM22" s="113">
        <f t="shared" si="10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4416</v>
      </c>
      <c r="N23" s="113">
        <f>O23*P23</f>
        <v>338534.5</v>
      </c>
      <c r="O23" s="99">
        <v>695</v>
      </c>
      <c r="P23" s="187">
        <f>P48</f>
        <v>487.1</v>
      </c>
      <c r="Q23" s="169">
        <v>7118256</v>
      </c>
      <c r="R23" s="168" t="s">
        <v>4312</v>
      </c>
      <c r="S23" s="193">
        <f>S22</f>
        <v>106</v>
      </c>
      <c r="T23" s="168" t="s">
        <v>4541</v>
      </c>
      <c r="U23" s="168">
        <v>313</v>
      </c>
      <c r="V23" s="168">
        <f t="shared" si="6"/>
        <v>341.95721643835623</v>
      </c>
      <c r="W23" s="32">
        <f t="shared" si="7"/>
        <v>348.79636076712336</v>
      </c>
      <c r="X23" s="32">
        <f t="shared" si="8"/>
        <v>355.63550509589049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311</v>
      </c>
      <c r="AM23" s="113">
        <f t="shared" si="10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L69</f>
        <v>298882362.2972464</v>
      </c>
      <c r="G24" s="95">
        <f t="shared" si="0"/>
        <v>-18576016.91530776</v>
      </c>
      <c r="H24" s="11"/>
      <c r="I24" s="96"/>
      <c r="J24" s="96"/>
      <c r="K24" s="219"/>
      <c r="L24" s="117"/>
      <c r="M24" s="219" t="s">
        <v>4795</v>
      </c>
      <c r="N24" s="113">
        <f>O24*P24</f>
        <v>143590</v>
      </c>
      <c r="O24" s="99">
        <v>173</v>
      </c>
      <c r="P24" s="187">
        <f>P57</f>
        <v>830</v>
      </c>
      <c r="Q24" s="169">
        <v>595156</v>
      </c>
      <c r="R24" s="168" t="s">
        <v>4399</v>
      </c>
      <c r="S24" s="194">
        <f>S23-16</f>
        <v>90</v>
      </c>
      <c r="T24" s="168" t="s">
        <v>4402</v>
      </c>
      <c r="U24" s="168">
        <v>5808.5</v>
      </c>
      <c r="V24" s="168">
        <f t="shared" si="6"/>
        <v>6274.5804054794535</v>
      </c>
      <c r="W24" s="32">
        <f t="shared" si="7"/>
        <v>6400.0720135890424</v>
      </c>
      <c r="X24" s="32">
        <f t="shared" si="8"/>
        <v>6525.5636216986322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310</v>
      </c>
      <c r="AM24" s="113">
        <f t="shared" si="10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4401</v>
      </c>
      <c r="N25" s="113">
        <f>O25*P25</f>
        <v>4122198</v>
      </c>
      <c r="O25" s="99">
        <v>828</v>
      </c>
      <c r="P25" s="99">
        <f>P47</f>
        <v>4978.5</v>
      </c>
      <c r="Q25" s="169">
        <v>1484689</v>
      </c>
      <c r="R25" s="168" t="s">
        <v>4437</v>
      </c>
      <c r="S25" s="168">
        <f>S24-7</f>
        <v>83</v>
      </c>
      <c r="T25" s="19" t="s">
        <v>4440</v>
      </c>
      <c r="U25" s="168">
        <v>5474</v>
      </c>
      <c r="V25" s="168">
        <f t="shared" si="6"/>
        <v>5883.8451287671242</v>
      </c>
      <c r="W25" s="32">
        <f t="shared" si="7"/>
        <v>6001.522031342467</v>
      </c>
      <c r="X25" s="32">
        <f t="shared" si="8"/>
        <v>6119.198933917809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298</v>
      </c>
      <c r="AM25" s="113">
        <f t="shared" si="10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2197673</v>
      </c>
      <c r="R26" s="168" t="s">
        <v>4437</v>
      </c>
      <c r="S26" s="168">
        <f>S25</f>
        <v>83</v>
      </c>
      <c r="T26" s="19" t="s">
        <v>4441</v>
      </c>
      <c r="U26" s="168">
        <v>5349</v>
      </c>
      <c r="V26" s="168">
        <f t="shared" si="6"/>
        <v>5749.4862246575349</v>
      </c>
      <c r="W26" s="32">
        <f>V26*(1+$W$19/100)</f>
        <v>5864.4759491506857</v>
      </c>
      <c r="X26" s="32">
        <f t="shared" si="8"/>
        <v>5979.4656736438365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292</v>
      </c>
      <c r="AM26" s="113">
        <f t="shared" si="10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1" t="s">
        <v>4467</v>
      </c>
      <c r="N27" s="113">
        <v>156324</v>
      </c>
      <c r="O27" s="69" t="s">
        <v>25</v>
      </c>
      <c r="P27" s="99"/>
      <c r="Q27" s="169">
        <v>1353959</v>
      </c>
      <c r="R27" s="168" t="s">
        <v>4437</v>
      </c>
      <c r="S27" s="200">
        <f>S26</f>
        <v>83</v>
      </c>
      <c r="T27" s="19" t="s">
        <v>4483</v>
      </c>
      <c r="U27" s="168">
        <v>192.2</v>
      </c>
      <c r="V27" s="168">
        <f t="shared" si="6"/>
        <v>206.59025095890414</v>
      </c>
      <c r="W27" s="32">
        <f t="shared" si="7"/>
        <v>210.72205597808221</v>
      </c>
      <c r="X27" s="32">
        <f t="shared" si="8"/>
        <v>214.85386099726031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291</v>
      </c>
      <c r="AM27" s="113">
        <f t="shared" si="10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/>
      <c r="L28" s="117"/>
      <c r="M28" s="191" t="s">
        <v>4401</v>
      </c>
      <c r="N28" s="113">
        <f>O28*P28</f>
        <v>233989.5</v>
      </c>
      <c r="O28" s="69">
        <v>47</v>
      </c>
      <c r="P28" s="99">
        <f>P47</f>
        <v>4978.5</v>
      </c>
      <c r="Q28" s="169">
        <v>1614398</v>
      </c>
      <c r="R28" s="168" t="s">
        <v>4445</v>
      </c>
      <c r="S28" s="168">
        <f>S27-3</f>
        <v>80</v>
      </c>
      <c r="T28" s="19" t="s">
        <v>4520</v>
      </c>
      <c r="U28" s="168">
        <v>184.6</v>
      </c>
      <c r="V28" s="168">
        <f t="shared" si="6"/>
        <v>197.99639671232879</v>
      </c>
      <c r="W28" s="32">
        <f t="shared" si="7"/>
        <v>201.95632464657538</v>
      </c>
      <c r="X28" s="32">
        <f t="shared" si="8"/>
        <v>205.91625258082195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290</v>
      </c>
      <c r="AM28" s="113">
        <f t="shared" si="10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219"/>
      <c r="L29" s="117"/>
      <c r="M29" s="191" t="s">
        <v>4416</v>
      </c>
      <c r="N29" s="113">
        <f>O29*P29</f>
        <v>339995.8</v>
      </c>
      <c r="O29" s="69">
        <v>698</v>
      </c>
      <c r="P29" s="99">
        <f>P48</f>
        <v>487.1</v>
      </c>
      <c r="Q29" s="169">
        <v>133576</v>
      </c>
      <c r="R29" s="168" t="s">
        <v>4527</v>
      </c>
      <c r="S29" s="199">
        <f>S28-22</f>
        <v>58</v>
      </c>
      <c r="T29" s="168" t="s">
        <v>4528</v>
      </c>
      <c r="U29" s="168">
        <v>166.2</v>
      </c>
      <c r="V29" s="168">
        <f t="shared" si="6"/>
        <v>175.45620164383561</v>
      </c>
      <c r="W29" s="32">
        <f t="shared" si="7"/>
        <v>178.96532567671233</v>
      </c>
      <c r="X29" s="32">
        <f t="shared" si="8"/>
        <v>182.47444970958904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285</v>
      </c>
      <c r="AM29" s="113">
        <f t="shared" si="10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219"/>
      <c r="L30" s="117"/>
      <c r="M30" s="191" t="s">
        <v>4795</v>
      </c>
      <c r="N30" s="113">
        <f>O30*P30</f>
        <v>143590</v>
      </c>
      <c r="O30" s="69">
        <v>173</v>
      </c>
      <c r="P30" s="99">
        <f>P57</f>
        <v>830</v>
      </c>
      <c r="Q30" s="169">
        <v>220803</v>
      </c>
      <c r="R30" s="168" t="s">
        <v>4232</v>
      </c>
      <c r="S30" s="199">
        <f>S29-1</f>
        <v>57</v>
      </c>
      <c r="T30" s="168" t="s">
        <v>4534</v>
      </c>
      <c r="U30" s="168">
        <v>166</v>
      </c>
      <c r="V30" s="168">
        <f t="shared" si="6"/>
        <v>175.1177205479452</v>
      </c>
      <c r="W30" s="32">
        <f t="shared" si="7"/>
        <v>178.6200749589041</v>
      </c>
      <c r="X30" s="32">
        <f t="shared" si="8"/>
        <v>182.122429369863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284</v>
      </c>
      <c r="AM30" s="113">
        <f t="shared" si="10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91" t="s">
        <v>4446</v>
      </c>
      <c r="N31" s="113">
        <f>O31*P31</f>
        <v>2903612.5</v>
      </c>
      <c r="O31" s="69">
        <v>17335</v>
      </c>
      <c r="P31" s="99">
        <f>P56</f>
        <v>167.5</v>
      </c>
      <c r="Q31" s="169">
        <v>1023940</v>
      </c>
      <c r="R31" s="168" t="s">
        <v>4535</v>
      </c>
      <c r="S31" s="199">
        <f>S30-2</f>
        <v>55</v>
      </c>
      <c r="T31" s="168" t="s">
        <v>4542</v>
      </c>
      <c r="U31" s="168">
        <v>160.19999999999999</v>
      </c>
      <c r="V31" s="168">
        <f t="shared" si="6"/>
        <v>168.75336328767125</v>
      </c>
      <c r="W31" s="32">
        <f t="shared" si="7"/>
        <v>172.12843055342466</v>
      </c>
      <c r="X31" s="32">
        <f t="shared" si="8"/>
        <v>175.50349781917811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279</v>
      </c>
      <c r="AM31" s="113">
        <f t="shared" si="10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168846</v>
      </c>
      <c r="R32" s="168" t="s">
        <v>3692</v>
      </c>
      <c r="S32" s="199">
        <f>S31-28</f>
        <v>27</v>
      </c>
      <c r="T32" s="168" t="s">
        <v>4643</v>
      </c>
      <c r="U32" s="168">
        <v>172.2</v>
      </c>
      <c r="V32" s="168">
        <f t="shared" si="6"/>
        <v>177.69530301369866</v>
      </c>
      <c r="W32" s="32">
        <f t="shared" si="7"/>
        <v>181.24920907397265</v>
      </c>
      <c r="X32" s="32">
        <f t="shared" si="8"/>
        <v>184.80311513424661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278</v>
      </c>
      <c r="AM32" s="113">
        <f t="shared" si="10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250962</v>
      </c>
      <c r="R33" s="168" t="s">
        <v>4690</v>
      </c>
      <c r="S33" s="199">
        <f>S32-10</f>
        <v>17</v>
      </c>
      <c r="T33" s="168" t="s">
        <v>4691</v>
      </c>
      <c r="U33" s="168">
        <v>5315.5</v>
      </c>
      <c r="V33" s="168">
        <f t="shared" si="6"/>
        <v>5444.3535452054803</v>
      </c>
      <c r="W33" s="32">
        <f t="shared" si="7"/>
        <v>5553.2406161095896</v>
      </c>
      <c r="X33" s="32">
        <f t="shared" si="8"/>
        <v>5662.1276870136999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262</v>
      </c>
      <c r="AM33" s="113">
        <f t="shared" si="10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4150</v>
      </c>
      <c r="N34" s="113">
        <f>-S132</f>
        <v>-201153138.2972464</v>
      </c>
      <c r="O34" s="96" t="s">
        <v>25</v>
      </c>
      <c r="P34" s="96" t="s">
        <v>25</v>
      </c>
      <c r="Q34" s="169">
        <v>350718</v>
      </c>
      <c r="R34" s="219" t="s">
        <v>4750</v>
      </c>
      <c r="S34" s="199">
        <f>S33-7</f>
        <v>10</v>
      </c>
      <c r="T34" s="219" t="s">
        <v>4751</v>
      </c>
      <c r="U34" s="219">
        <v>502.3</v>
      </c>
      <c r="V34" s="219">
        <f t="shared" si="6"/>
        <v>511.77902027397266</v>
      </c>
      <c r="W34" s="32">
        <f t="shared" si="7"/>
        <v>522.01460067945209</v>
      </c>
      <c r="X34" s="32">
        <f t="shared" si="8"/>
        <v>532.25018108493157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262</v>
      </c>
      <c r="AM34" s="113">
        <f t="shared" si="10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96"/>
      <c r="Q35" s="169">
        <v>144241</v>
      </c>
      <c r="R35" s="219" t="s">
        <v>4779</v>
      </c>
      <c r="S35" s="199">
        <f>S34-11</f>
        <v>-1</v>
      </c>
      <c r="T35" s="219" t="s">
        <v>4796</v>
      </c>
      <c r="U35" s="219">
        <v>830</v>
      </c>
      <c r="V35" s="219">
        <f t="shared" si="6"/>
        <v>838.65928767123307</v>
      </c>
      <c r="W35" s="32">
        <f t="shared" si="7"/>
        <v>855.4324734246577</v>
      </c>
      <c r="X35" s="32">
        <f t="shared" si="8"/>
        <v>872.20565917808244</v>
      </c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250</v>
      </c>
      <c r="AM35" s="113">
        <f t="shared" si="10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 t="s">
        <v>1086</v>
      </c>
      <c r="L36" s="117">
        <f>32*P15</f>
        <v>140800000</v>
      </c>
      <c r="M36" s="168" t="s">
        <v>760</v>
      </c>
      <c r="N36" s="113">
        <v>1200000</v>
      </c>
      <c r="O36" t="s">
        <v>25</v>
      </c>
      <c r="P36" t="s">
        <v>25</v>
      </c>
      <c r="Q36" s="169"/>
      <c r="R36" s="168"/>
      <c r="S36" s="168"/>
      <c r="T36" s="168"/>
      <c r="U36" s="168"/>
      <c r="V36" s="168" t="s">
        <v>25</v>
      </c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248</v>
      </c>
      <c r="AM36" s="113">
        <f t="shared" si="10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 t="s">
        <v>4742</v>
      </c>
      <c r="L37" s="117">
        <v>-48500000</v>
      </c>
      <c r="M37" s="73"/>
      <c r="N37" s="113"/>
      <c r="O37" s="96" t="s">
        <v>25</v>
      </c>
      <c r="P37" s="96"/>
      <c r="Q37" s="169">
        <f>SUM(N21:N25)-SUM(Q20:Q36)</f>
        <v>-2726624.6000000015</v>
      </c>
      <c r="R37" s="168"/>
      <c r="S37" s="168" t="s">
        <v>25</v>
      </c>
      <c r="T37" s="168"/>
      <c r="U37" s="168"/>
      <c r="V37" s="168"/>
      <c r="W37" s="32"/>
      <c r="X37" s="32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248</v>
      </c>
      <c r="AM37" s="113">
        <f t="shared" si="10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 t="s">
        <v>4325</v>
      </c>
      <c r="L38" s="117">
        <v>-2000000</v>
      </c>
      <c r="M38" s="168" t="s">
        <v>1086</v>
      </c>
      <c r="N38" s="113">
        <f>27*P15</f>
        <v>118800000</v>
      </c>
      <c r="O38" s="96"/>
      <c r="P38" s="96"/>
      <c r="R38" s="115"/>
      <c r="S38" s="115" t="s">
        <v>25</v>
      </c>
      <c r="T38" s="115"/>
      <c r="U38" s="115"/>
      <c r="V38" s="115"/>
      <c r="W38" s="196"/>
      <c r="X38" s="196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247</v>
      </c>
      <c r="AM38" s="113">
        <f t="shared" si="10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 t="s">
        <v>4517</v>
      </c>
      <c r="L39" s="117">
        <v>-1000000</v>
      </c>
      <c r="M39" s="168" t="s">
        <v>4741</v>
      </c>
      <c r="N39" s="113">
        <v>-18000000</v>
      </c>
      <c r="O39" s="96"/>
      <c r="P39" s="114"/>
      <c r="Q39" s="96"/>
      <c r="R39" s="115"/>
      <c r="S39" s="115"/>
      <c r="T39" s="115" t="s">
        <v>25</v>
      </c>
      <c r="U39" s="115"/>
      <c r="V39" s="115"/>
      <c r="W39" s="196"/>
      <c r="X39" s="196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243</v>
      </c>
      <c r="AM39" s="113">
        <f t="shared" si="10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/>
      <c r="L40" s="117"/>
      <c r="M40" s="168" t="s">
        <v>4688</v>
      </c>
      <c r="N40" s="113">
        <v>-47500000</v>
      </c>
      <c r="O40" s="96"/>
      <c r="P40" s="96"/>
      <c r="Q40" s="168" t="s">
        <v>657</v>
      </c>
      <c r="R40" s="168"/>
      <c r="S40" s="168"/>
      <c r="T40" s="168"/>
      <c r="U40" s="168"/>
      <c r="V40" s="168"/>
      <c r="W40" s="32"/>
      <c r="X40" s="32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240</v>
      </c>
      <c r="AM40" s="113">
        <f t="shared" si="10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30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99" t="s">
        <v>4420</v>
      </c>
      <c r="L41" s="117">
        <v>3000000</v>
      </c>
      <c r="M41" s="168"/>
      <c r="N41" s="113"/>
      <c r="O41" s="96" t="s">
        <v>25</v>
      </c>
      <c r="P41" s="96"/>
      <c r="Q41" s="168" t="s">
        <v>267</v>
      </c>
      <c r="R41" s="168" t="s">
        <v>180</v>
      </c>
      <c r="S41" s="168" t="s">
        <v>183</v>
      </c>
      <c r="T41" s="168" t="s">
        <v>8</v>
      </c>
      <c r="U41" s="168" t="s">
        <v>4369</v>
      </c>
      <c r="V41" s="73" t="s">
        <v>4371</v>
      </c>
      <c r="W41" s="32">
        <v>2</v>
      </c>
      <c r="X41" s="32">
        <v>4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236</v>
      </c>
      <c r="AM41" s="113">
        <f t="shared" si="10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 t="s">
        <v>4626</v>
      </c>
      <c r="L42" s="117">
        <v>2000000</v>
      </c>
      <c r="M42" s="168" t="s">
        <v>4466</v>
      </c>
      <c r="N42" s="113">
        <v>13499939</v>
      </c>
      <c r="P42" t="s">
        <v>25</v>
      </c>
      <c r="Q42" s="168">
        <v>0</v>
      </c>
      <c r="R42" s="168" t="s">
        <v>4173</v>
      </c>
      <c r="S42" s="168">
        <f>S60</f>
        <v>142</v>
      </c>
      <c r="T42" s="168"/>
      <c r="U42" s="168"/>
      <c r="V42" s="73"/>
      <c r="W42" s="32"/>
      <c r="X42" s="32"/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235</v>
      </c>
      <c r="AM42" s="113">
        <f t="shared" si="10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56" t="s">
        <v>4772</v>
      </c>
      <c r="L43" s="117">
        <v>-300000</v>
      </c>
      <c r="M43" s="168"/>
      <c r="N43" s="113"/>
      <c r="O43" s="99"/>
      <c r="P43" s="99"/>
      <c r="Q43" s="169">
        <v>863944</v>
      </c>
      <c r="R43" s="168" t="s">
        <v>4445</v>
      </c>
      <c r="S43" s="168">
        <f>S42-62</f>
        <v>80</v>
      </c>
      <c r="T43" s="192" t="s">
        <v>4521</v>
      </c>
      <c r="U43" s="168">
        <v>184.6</v>
      </c>
      <c r="V43" s="168">
        <f t="shared" ref="V43:V51" si="12">U43*(1+$N$89+$Q$15*S43/36500)</f>
        <v>197.99639671232879</v>
      </c>
      <c r="W43" s="32">
        <f t="shared" ref="W43:W51" si="13">V43*(1+$W$19/100)</f>
        <v>201.95632464657538</v>
      </c>
      <c r="X43" s="32">
        <f t="shared" ref="X43:X51" si="14">V43*(1+$X$19/100)</f>
        <v>205.91625258082195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235</v>
      </c>
      <c r="AM43" s="113">
        <f t="shared" si="10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56" t="s">
        <v>4780</v>
      </c>
      <c r="L44" s="117">
        <v>-300000</v>
      </c>
      <c r="M44" s="209" t="s">
        <v>4397</v>
      </c>
      <c r="N44" s="113">
        <f>O44*P44</f>
        <v>66337553.700000003</v>
      </c>
      <c r="O44" s="99">
        <v>21393</v>
      </c>
      <c r="P44" s="99">
        <v>3100.9</v>
      </c>
      <c r="Q44" s="169">
        <v>1692313</v>
      </c>
      <c r="R44" s="168" t="s">
        <v>4524</v>
      </c>
      <c r="S44" s="199">
        <f>S43-21</f>
        <v>59</v>
      </c>
      <c r="T44" s="191" t="s">
        <v>4525</v>
      </c>
      <c r="U44" s="168">
        <v>168.5</v>
      </c>
      <c r="V44" s="168">
        <f t="shared" si="12"/>
        <v>178.01355616438357</v>
      </c>
      <c r="W44" s="32">
        <f t="shared" si="13"/>
        <v>181.57382728767124</v>
      </c>
      <c r="X44" s="32">
        <f t="shared" si="14"/>
        <v>185.13409841095893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234</v>
      </c>
      <c r="AM44" s="113">
        <f t="shared" si="10"/>
        <v>25740000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 t="s">
        <v>4797</v>
      </c>
      <c r="L45" s="117">
        <v>-1600000</v>
      </c>
      <c r="M45" s="21" t="s">
        <v>4602</v>
      </c>
      <c r="N45" s="117">
        <f t="shared" ref="N45:N58" si="15">O45*P45</f>
        <v>672400</v>
      </c>
      <c r="O45" s="69">
        <v>2000</v>
      </c>
      <c r="P45" s="69">
        <v>336.2</v>
      </c>
      <c r="Q45" s="169">
        <v>101153</v>
      </c>
      <c r="R45" s="168" t="s">
        <v>4527</v>
      </c>
      <c r="S45" s="199">
        <f>S44-1</f>
        <v>58</v>
      </c>
      <c r="T45" s="191" t="s">
        <v>4529</v>
      </c>
      <c r="U45" s="168">
        <v>166.7</v>
      </c>
      <c r="V45" s="168">
        <f t="shared" si="12"/>
        <v>175.98404821917808</v>
      </c>
      <c r="W45" s="32">
        <f t="shared" si="13"/>
        <v>179.50372918356163</v>
      </c>
      <c r="X45" s="32">
        <f t="shared" si="14"/>
        <v>183.02341014794521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233</v>
      </c>
      <c r="AM45" s="113">
        <f t="shared" si="10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4585</v>
      </c>
      <c r="N46" s="117">
        <f t="shared" si="15"/>
        <v>1054600</v>
      </c>
      <c r="O46" s="69">
        <v>1000</v>
      </c>
      <c r="P46" s="69">
        <v>1054.5999999999999</v>
      </c>
      <c r="Q46" s="169">
        <v>183105</v>
      </c>
      <c r="R46" s="168" t="s">
        <v>4232</v>
      </c>
      <c r="S46" s="199">
        <f>S45-1</f>
        <v>57</v>
      </c>
      <c r="T46" s="191" t="s">
        <v>4533</v>
      </c>
      <c r="U46" s="168">
        <v>166.6</v>
      </c>
      <c r="V46" s="168">
        <f t="shared" si="12"/>
        <v>175.75067616438355</v>
      </c>
      <c r="W46" s="32">
        <f t="shared" si="13"/>
        <v>179.26568968767123</v>
      </c>
      <c r="X46" s="32">
        <f t="shared" si="14"/>
        <v>182.7807032109589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226</v>
      </c>
      <c r="AM46" s="113">
        <f t="shared" si="10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4401</v>
      </c>
      <c r="N47" s="113">
        <f t="shared" si="15"/>
        <v>105046350</v>
      </c>
      <c r="O47" s="69">
        <v>21100</v>
      </c>
      <c r="P47" s="69">
        <v>4978.5</v>
      </c>
      <c r="Q47" s="169">
        <v>168846</v>
      </c>
      <c r="R47" s="168" t="s">
        <v>3692</v>
      </c>
      <c r="S47" s="199">
        <f>S46-30</f>
        <v>27</v>
      </c>
      <c r="T47" s="191" t="s">
        <v>4643</v>
      </c>
      <c r="U47" s="168">
        <v>172.2</v>
      </c>
      <c r="V47" s="168">
        <f t="shared" si="12"/>
        <v>177.69530301369866</v>
      </c>
      <c r="W47" s="32">
        <f t="shared" si="13"/>
        <v>181.24920907397265</v>
      </c>
      <c r="X47" s="32">
        <f t="shared" si="14"/>
        <v>184.80311513424661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220</v>
      </c>
      <c r="AM47" s="113">
        <f t="shared" si="10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4416</v>
      </c>
      <c r="N48" s="117">
        <f t="shared" si="15"/>
        <v>45901868.5</v>
      </c>
      <c r="O48" s="69">
        <v>94235</v>
      </c>
      <c r="P48" s="69">
        <v>487.1</v>
      </c>
      <c r="Q48" s="169">
        <v>250962</v>
      </c>
      <c r="R48" s="168" t="s">
        <v>4690</v>
      </c>
      <c r="S48" s="199">
        <f>S47-10</f>
        <v>17</v>
      </c>
      <c r="T48" s="191" t="s">
        <v>4691</v>
      </c>
      <c r="U48" s="168">
        <v>5315.5</v>
      </c>
      <c r="V48" s="168">
        <f t="shared" si="12"/>
        <v>5444.3535452054803</v>
      </c>
      <c r="W48" s="32">
        <f t="shared" si="13"/>
        <v>5553.2406161095896</v>
      </c>
      <c r="X48" s="32">
        <f t="shared" si="14"/>
        <v>5662.1276870136999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219</v>
      </c>
      <c r="AM48" s="113">
        <f t="shared" si="10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19" t="s">
        <v>4551</v>
      </c>
      <c r="N49" s="117">
        <f t="shared" si="15"/>
        <v>2726108.8</v>
      </c>
      <c r="O49" s="69">
        <v>698</v>
      </c>
      <c r="P49" s="69">
        <v>3905.6</v>
      </c>
      <c r="Q49" s="169">
        <v>352231</v>
      </c>
      <c r="R49" s="219" t="s">
        <v>4750</v>
      </c>
      <c r="S49" s="199">
        <f>S48-7</f>
        <v>10</v>
      </c>
      <c r="T49" s="191" t="s">
        <v>4752</v>
      </c>
      <c r="U49" s="219">
        <v>502.3</v>
      </c>
      <c r="V49" s="219">
        <f t="shared" si="12"/>
        <v>511.77902027397266</v>
      </c>
      <c r="W49" s="32">
        <f t="shared" si="13"/>
        <v>522.01460067945209</v>
      </c>
      <c r="X49" s="32">
        <f t="shared" si="14"/>
        <v>532.25018108493157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219</v>
      </c>
      <c r="AM49" s="113">
        <f t="shared" si="10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4550</v>
      </c>
      <c r="N50" s="117">
        <f t="shared" si="15"/>
        <v>13304773.499999998</v>
      </c>
      <c r="O50" s="69">
        <v>2865</v>
      </c>
      <c r="P50" s="69">
        <v>4643.8999999999996</v>
      </c>
      <c r="Q50" s="169">
        <v>144241</v>
      </c>
      <c r="R50" s="219" t="s">
        <v>4779</v>
      </c>
      <c r="S50" s="199">
        <f>S49-11</f>
        <v>-1</v>
      </c>
      <c r="T50" s="191" t="s">
        <v>4796</v>
      </c>
      <c r="U50" s="219">
        <v>830</v>
      </c>
      <c r="V50" s="219">
        <f t="shared" si="12"/>
        <v>838.65928767123307</v>
      </c>
      <c r="W50" s="32">
        <f t="shared" si="13"/>
        <v>855.4324734246577</v>
      </c>
      <c r="X50" s="32">
        <f t="shared" si="14"/>
        <v>872.20565917808244</v>
      </c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216</v>
      </c>
      <c r="AM50" s="113">
        <f t="shared" si="10"/>
        <v>-1792716192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4790</v>
      </c>
      <c r="N51" s="117">
        <f t="shared" si="15"/>
        <v>978841.2</v>
      </c>
      <c r="O51" s="69">
        <v>2388</v>
      </c>
      <c r="P51" s="69">
        <v>409.9</v>
      </c>
      <c r="Q51" s="169"/>
      <c r="R51" s="168"/>
      <c r="S51" s="113"/>
      <c r="T51" s="113"/>
      <c r="U51" s="168"/>
      <c r="V51" s="168">
        <f t="shared" si="12"/>
        <v>0</v>
      </c>
      <c r="W51" s="32">
        <f t="shared" si="13"/>
        <v>0</v>
      </c>
      <c r="X51" s="32">
        <f t="shared" si="14"/>
        <v>0</v>
      </c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214</v>
      </c>
      <c r="AM51" s="113">
        <f t="shared" si="10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 t="s">
        <v>25</v>
      </c>
      <c r="L52" s="117"/>
      <c r="M52" s="21" t="s">
        <v>4635</v>
      </c>
      <c r="N52" s="117">
        <f t="shared" si="15"/>
        <v>3584280</v>
      </c>
      <c r="O52" s="69">
        <v>5100</v>
      </c>
      <c r="P52" s="69">
        <v>702.8</v>
      </c>
      <c r="Q52" s="113">
        <f>SUM(N28:N31)-SUM(Q42:Q51)</f>
        <v>-135607.20000000019</v>
      </c>
      <c r="R52" s="168"/>
      <c r="S52" s="168"/>
      <c r="T52" s="168"/>
      <c r="U52" s="168"/>
      <c r="V52" s="168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200</v>
      </c>
      <c r="AM52" s="113">
        <f t="shared" si="10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19" t="s">
        <v>4297</v>
      </c>
      <c r="N53" s="113">
        <f t="shared" si="15"/>
        <v>430650.00000000006</v>
      </c>
      <c r="O53" s="69">
        <v>1500</v>
      </c>
      <c r="P53" s="69">
        <v>287.10000000000002</v>
      </c>
      <c r="R53" s="115"/>
      <c r="S53" s="115"/>
      <c r="T53" s="115" t="s">
        <v>25</v>
      </c>
      <c r="U53" s="115"/>
      <c r="V53" s="115"/>
      <c r="W53" s="196"/>
      <c r="X53" s="196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199</v>
      </c>
      <c r="AM53" s="113">
        <f t="shared" si="10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/>
      <c r="L54" s="117"/>
      <c r="M54" s="19" t="s">
        <v>4606</v>
      </c>
      <c r="N54" s="113">
        <f t="shared" si="15"/>
        <v>204344</v>
      </c>
      <c r="O54" s="69">
        <v>1148</v>
      </c>
      <c r="P54" s="69">
        <v>178</v>
      </c>
      <c r="Q54" t="s">
        <v>25</v>
      </c>
      <c r="S54" s="26" t="s">
        <v>25</v>
      </c>
      <c r="T54" t="s">
        <v>25</v>
      </c>
      <c r="U54" s="96" t="s">
        <v>25</v>
      </c>
      <c r="V54" s="115" t="s">
        <v>25</v>
      </c>
      <c r="W54" s="196"/>
      <c r="X54" s="196"/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195</v>
      </c>
      <c r="AM54" s="113">
        <f t="shared" si="10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4654</v>
      </c>
      <c r="N55" s="117">
        <f t="shared" si="15"/>
        <v>1112100</v>
      </c>
      <c r="O55" s="69">
        <v>5500</v>
      </c>
      <c r="P55" s="69">
        <v>202.2</v>
      </c>
      <c r="Q55" t="s">
        <v>25</v>
      </c>
      <c r="T55" t="s">
        <v>25</v>
      </c>
      <c r="W55" s="196"/>
      <c r="X55" s="196"/>
      <c r="AH55" s="171">
        <v>36</v>
      </c>
      <c r="AI55" s="170" t="s">
        <v>3992</v>
      </c>
      <c r="AJ55" s="170">
        <v>-4242000</v>
      </c>
      <c r="AK55" s="171">
        <v>2</v>
      </c>
      <c r="AL55" s="171">
        <f t="shared" si="9"/>
        <v>193</v>
      </c>
      <c r="AM55" s="170">
        <f t="shared" si="10"/>
        <v>-818706000</v>
      </c>
      <c r="AN55" s="171" t="s">
        <v>4063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56"/>
      <c r="L56" s="117"/>
      <c r="M56" s="19" t="s">
        <v>4180</v>
      </c>
      <c r="N56" s="113">
        <f t="shared" si="15"/>
        <v>211709280</v>
      </c>
      <c r="O56" s="99">
        <v>1263936</v>
      </c>
      <c r="P56" s="99">
        <v>167.5</v>
      </c>
      <c r="T56" t="s">
        <v>25</v>
      </c>
      <c r="U56" s="96" t="s">
        <v>25</v>
      </c>
      <c r="W56" s="196"/>
      <c r="X56" s="196"/>
      <c r="Y56" s="96"/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191</v>
      </c>
      <c r="AM56" s="113">
        <f t="shared" si="10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56"/>
      <c r="L57" s="117"/>
      <c r="M57" s="19" t="s">
        <v>4795</v>
      </c>
      <c r="N57" s="113">
        <f t="shared" si="15"/>
        <v>143590</v>
      </c>
      <c r="O57" s="99">
        <v>173</v>
      </c>
      <c r="P57" s="99">
        <v>830</v>
      </c>
      <c r="W57" s="196"/>
      <c r="X57" s="196"/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191</v>
      </c>
      <c r="AM57" s="113">
        <f t="shared" si="10"/>
        <v>783100000</v>
      </c>
      <c r="AN57" s="99"/>
    </row>
    <row r="58" spans="1:40" ht="3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117"/>
      <c r="M58" s="21" t="s">
        <v>1086</v>
      </c>
      <c r="N58" s="117">
        <f t="shared" si="15"/>
        <v>13320000</v>
      </c>
      <c r="O58" s="69">
        <v>30</v>
      </c>
      <c r="P58" s="69">
        <v>444000</v>
      </c>
      <c r="Q58" s="73" t="s">
        <v>4296</v>
      </c>
      <c r="R58" s="112"/>
      <c r="S58" s="112"/>
      <c r="T58" s="112"/>
      <c r="U58" s="168" t="s">
        <v>4369</v>
      </c>
      <c r="V58" s="36" t="s">
        <v>4371</v>
      </c>
      <c r="W58" s="32"/>
      <c r="X58" s="32"/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190</v>
      </c>
      <c r="AM58" s="113">
        <f t="shared" si="10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73"/>
      <c r="N59" s="117"/>
      <c r="O59" s="122"/>
      <c r="P59" s="122"/>
      <c r="Q59" s="112" t="s">
        <v>267</v>
      </c>
      <c r="R59" s="112" t="s">
        <v>180</v>
      </c>
      <c r="S59" s="112" t="s">
        <v>183</v>
      </c>
      <c r="T59" s="112" t="s">
        <v>8</v>
      </c>
      <c r="U59" s="168"/>
      <c r="V59" s="99"/>
      <c r="W59" s="32">
        <v>2</v>
      </c>
      <c r="X59" s="32">
        <v>4</v>
      </c>
      <c r="Y59">
        <v>961521</v>
      </c>
      <c r="Z59" s="96"/>
      <c r="AA59" s="96"/>
      <c r="AB59" s="96"/>
      <c r="AC59" s="96"/>
      <c r="AH59" s="171">
        <v>40</v>
      </c>
      <c r="AI59" s="170" t="s">
        <v>4038</v>
      </c>
      <c r="AJ59" s="170">
        <v>-3865000</v>
      </c>
      <c r="AK59" s="171">
        <v>6</v>
      </c>
      <c r="AL59" s="171">
        <f t="shared" si="9"/>
        <v>175</v>
      </c>
      <c r="AM59" s="172">
        <f t="shared" si="10"/>
        <v>-676375000</v>
      </c>
      <c r="AN59" s="171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168" t="s">
        <v>1153</v>
      </c>
      <c r="N60" s="117">
        <v>14908</v>
      </c>
      <c r="O60" s="96" t="s">
        <v>25</v>
      </c>
      <c r="P60" t="s">
        <v>25</v>
      </c>
      <c r="Q60" s="35">
        <v>184971545</v>
      </c>
      <c r="R60" s="5" t="s">
        <v>4173</v>
      </c>
      <c r="S60" s="5">
        <v>142</v>
      </c>
      <c r="T60" s="5" t="s">
        <v>4352</v>
      </c>
      <c r="U60" s="168">
        <v>192</v>
      </c>
      <c r="V60" s="99">
        <f t="shared" ref="V60:V91" si="16">U60*(1+$N$89+$Q$15*S60/36500)</f>
        <v>215.06524931506851</v>
      </c>
      <c r="W60" s="32">
        <f t="shared" ref="W60:W84" si="17">V60*(1+$W$19/100)</f>
        <v>219.36655430136989</v>
      </c>
      <c r="X60" s="32">
        <f t="shared" ref="X60:X84" si="18">V60*(1+$X$19/100)</f>
        <v>223.66785928767126</v>
      </c>
      <c r="Y60">
        <v>44349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169</v>
      </c>
      <c r="AM60" s="113">
        <f t="shared" si="10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99"/>
      <c r="M61" s="168" t="s">
        <v>1154</v>
      </c>
      <c r="N61" s="117">
        <v>5282</v>
      </c>
      <c r="O61" s="96"/>
      <c r="P61" t="s">
        <v>25</v>
      </c>
      <c r="Q61" s="35">
        <v>9560464</v>
      </c>
      <c r="R61" s="5" t="s">
        <v>4300</v>
      </c>
      <c r="S61" s="5">
        <f>S60-31</f>
        <v>111</v>
      </c>
      <c r="T61" s="5" t="s">
        <v>4316</v>
      </c>
      <c r="U61" s="168">
        <v>214.57</v>
      </c>
      <c r="V61" s="99">
        <f t="shared" si="16"/>
        <v>235.24396646575346</v>
      </c>
      <c r="W61" s="32">
        <f t="shared" si="17"/>
        <v>239.94884579506854</v>
      </c>
      <c r="X61" s="32">
        <f t="shared" si="18"/>
        <v>244.65372512438361</v>
      </c>
      <c r="Y61">
        <v>9625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166</v>
      </c>
      <c r="AM61" s="113">
        <f t="shared" si="10"/>
        <v>83000000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8"/>
      <c r="L62" s="117"/>
      <c r="M62" s="168"/>
      <c r="N62" s="113"/>
      <c r="O62" s="115"/>
      <c r="P62" s="115"/>
      <c r="Q62" s="35">
        <v>2000000</v>
      </c>
      <c r="R62" s="5" t="s">
        <v>4347</v>
      </c>
      <c r="S62" s="5">
        <f>S61-11</f>
        <v>100</v>
      </c>
      <c r="T62" s="5" t="s">
        <v>4351</v>
      </c>
      <c r="U62" s="168">
        <v>206.8</v>
      </c>
      <c r="V62" s="99">
        <f t="shared" si="16"/>
        <v>224.98026958904111</v>
      </c>
      <c r="W62" s="32">
        <f t="shared" si="17"/>
        <v>229.47987498082193</v>
      </c>
      <c r="X62" s="32">
        <f t="shared" si="18"/>
        <v>233.97948037260278</v>
      </c>
      <c r="Y62">
        <v>6980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165</v>
      </c>
      <c r="AM62" s="113">
        <f t="shared" si="10"/>
        <v>33000000</v>
      </c>
      <c r="AN62" s="20"/>
    </row>
    <row r="63" spans="1:40">
      <c r="E63" s="26"/>
      <c r="K63" s="168" t="s">
        <v>25</v>
      </c>
      <c r="L63" s="117"/>
      <c r="M63" s="168" t="s">
        <v>4181</v>
      </c>
      <c r="N63" s="113">
        <f>-O63*P63</f>
        <v>-13864477.5</v>
      </c>
      <c r="O63" s="99">
        <v>82773</v>
      </c>
      <c r="P63" s="99">
        <f>P56</f>
        <v>167.5</v>
      </c>
      <c r="Q63" s="35">
        <v>1429825</v>
      </c>
      <c r="R63" s="5" t="s">
        <v>4378</v>
      </c>
      <c r="S63" s="5">
        <f>S62-7</f>
        <v>93</v>
      </c>
      <c r="T63" s="5" t="s">
        <v>4387</v>
      </c>
      <c r="U63" s="168">
        <v>203.9</v>
      </c>
      <c r="V63" s="99">
        <f t="shared" si="16"/>
        <v>220.73040876712332</v>
      </c>
      <c r="W63" s="32">
        <f t="shared" si="17"/>
        <v>225.14501694246579</v>
      </c>
      <c r="X63" s="32">
        <f t="shared" si="18"/>
        <v>229.55962511780825</v>
      </c>
      <c r="Y63">
        <v>6963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162</v>
      </c>
      <c r="AM63" s="113">
        <f t="shared" si="10"/>
        <v>162000000</v>
      </c>
      <c r="AN63" s="20"/>
    </row>
    <row r="64" spans="1:40">
      <c r="E64" s="26"/>
      <c r="K64" s="168"/>
      <c r="L64" s="117"/>
      <c r="M64" s="168"/>
      <c r="N64" s="113"/>
      <c r="Q64" s="35">
        <v>1420747</v>
      </c>
      <c r="R64" s="5" t="s">
        <v>4378</v>
      </c>
      <c r="S64" s="5">
        <f>S63</f>
        <v>93</v>
      </c>
      <c r="T64" s="5" t="s">
        <v>4389</v>
      </c>
      <c r="U64" s="168">
        <v>203.1</v>
      </c>
      <c r="V64" s="99">
        <f t="shared" si="16"/>
        <v>219.86437479452059</v>
      </c>
      <c r="W64" s="32">
        <f t="shared" si="17"/>
        <v>224.26166229041101</v>
      </c>
      <c r="X64" s="32">
        <f t="shared" si="18"/>
        <v>228.65894978630141</v>
      </c>
      <c r="Y64" s="96">
        <v>0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159</v>
      </c>
      <c r="AM64" s="113">
        <f t="shared" si="10"/>
        <v>206700000</v>
      </c>
      <c r="AN64" s="20"/>
    </row>
    <row r="65" spans="1:40">
      <c r="K65" s="168"/>
      <c r="L65" s="117"/>
      <c r="M65" s="168"/>
      <c r="N65" s="113"/>
      <c r="Q65" s="35">
        <v>2412371</v>
      </c>
      <c r="R65" s="5" t="s">
        <v>4380</v>
      </c>
      <c r="S65" s="5">
        <f>S64-1</f>
        <v>92</v>
      </c>
      <c r="T65" s="5" t="s">
        <v>4396</v>
      </c>
      <c r="U65" s="168">
        <v>3930</v>
      </c>
      <c r="V65" s="99">
        <f t="shared" si="16"/>
        <v>4251.3770958904115</v>
      </c>
      <c r="W65" s="32">
        <f t="shared" si="17"/>
        <v>4336.4046378082194</v>
      </c>
      <c r="X65" s="32">
        <f t="shared" si="18"/>
        <v>4421.4321797260282</v>
      </c>
      <c r="Y65" s="96">
        <v>9904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9">AL66+AK65</f>
        <v>159</v>
      </c>
      <c r="AM65" s="113">
        <f t="shared" si="10"/>
        <v>158205000</v>
      </c>
      <c r="AN65" s="20"/>
    </row>
    <row r="66" spans="1:40">
      <c r="K66" s="168"/>
      <c r="L66" s="117"/>
      <c r="M66" s="168" t="s">
        <v>4453</v>
      </c>
      <c r="N66" s="113">
        <f>-S133</f>
        <v>-13738657.285747407</v>
      </c>
      <c r="Q66" s="35">
        <v>2010885</v>
      </c>
      <c r="R66" s="5" t="s">
        <v>4399</v>
      </c>
      <c r="S66" s="5">
        <f>S65-2</f>
        <v>90</v>
      </c>
      <c r="T66" s="5" t="s">
        <v>4405</v>
      </c>
      <c r="U66" s="168">
        <v>202.1</v>
      </c>
      <c r="V66" s="99">
        <f t="shared" si="16"/>
        <v>218.31672547945209</v>
      </c>
      <c r="W66" s="32">
        <f t="shared" si="17"/>
        <v>222.68305998904114</v>
      </c>
      <c r="X66" s="32">
        <f t="shared" si="18"/>
        <v>227.04939449863019</v>
      </c>
      <c r="Y66" s="96">
        <v>0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9"/>
        <v>157</v>
      </c>
      <c r="AM66" s="113">
        <f t="shared" si="10"/>
        <v>2041000000</v>
      </c>
      <c r="AN66" s="20"/>
    </row>
    <row r="67" spans="1:40">
      <c r="A67" t="s">
        <v>25</v>
      </c>
      <c r="F67" t="s">
        <v>310</v>
      </c>
      <c r="G67" t="s">
        <v>4100</v>
      </c>
      <c r="K67" s="168"/>
      <c r="L67" s="117"/>
      <c r="M67" s="168" t="s">
        <v>4777</v>
      </c>
      <c r="N67" s="113">
        <f>50*P58</f>
        <v>22200000</v>
      </c>
      <c r="P67" t="s">
        <v>25</v>
      </c>
      <c r="Q67" s="35">
        <v>1994038</v>
      </c>
      <c r="R67" s="5" t="s">
        <v>4410</v>
      </c>
      <c r="S67" s="5">
        <f>S66-3</f>
        <v>87</v>
      </c>
      <c r="T67" s="5" t="s">
        <v>4427</v>
      </c>
      <c r="U67" s="168">
        <v>5560.3</v>
      </c>
      <c r="V67" s="99">
        <f t="shared" si="16"/>
        <v>5993.6682586301376</v>
      </c>
      <c r="W67" s="32">
        <f t="shared" si="17"/>
        <v>6113.5416238027401</v>
      </c>
      <c r="X67" s="32">
        <f t="shared" si="18"/>
        <v>6233.4149889753435</v>
      </c>
      <c r="Y67" s="96">
        <v>0</v>
      </c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9"/>
        <v>155</v>
      </c>
      <c r="AM67" s="113">
        <f t="shared" si="10"/>
        <v>-480500000</v>
      </c>
      <c r="AN67" s="20"/>
    </row>
    <row r="68" spans="1:40">
      <c r="F68" t="s">
        <v>4104</v>
      </c>
      <c r="G68" t="s">
        <v>4099</v>
      </c>
      <c r="K68" s="168"/>
      <c r="L68" s="117"/>
      <c r="M68" s="168" t="s">
        <v>4781</v>
      </c>
      <c r="N68" s="113">
        <v>-300000</v>
      </c>
      <c r="Q68" s="35">
        <v>444</v>
      </c>
      <c r="R68" s="5" t="s">
        <v>4410</v>
      </c>
      <c r="S68" s="5">
        <f>S67</f>
        <v>87</v>
      </c>
      <c r="T68" s="5" t="s">
        <v>4632</v>
      </c>
      <c r="U68" s="168">
        <v>441.8</v>
      </c>
      <c r="V68" s="99">
        <f t="shared" si="16"/>
        <v>476.23377095890413</v>
      </c>
      <c r="W68" s="32">
        <f t="shared" si="17"/>
        <v>485.75844637808223</v>
      </c>
      <c r="X68" s="32">
        <f t="shared" si="18"/>
        <v>495.28312179726032</v>
      </c>
      <c r="Y68" s="96">
        <v>10000</v>
      </c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9"/>
        <v>152</v>
      </c>
      <c r="AM68" s="113">
        <f t="shared" si="10"/>
        <v>6937280000</v>
      </c>
      <c r="AN68" s="20"/>
    </row>
    <row r="69" spans="1:40">
      <c r="F69" t="s">
        <v>4105</v>
      </c>
      <c r="G69" t="s">
        <v>4101</v>
      </c>
      <c r="K69" s="168" t="s">
        <v>598</v>
      </c>
      <c r="L69" s="113">
        <f>SUM(L16:L53)</f>
        <v>298882362.2972464</v>
      </c>
      <c r="M69" s="168"/>
      <c r="N69" s="113">
        <f>SUM(N16:N68)</f>
        <v>360834200.81700617</v>
      </c>
      <c r="Q69" s="35">
        <v>1971103</v>
      </c>
      <c r="R69" s="5" t="s">
        <v>4422</v>
      </c>
      <c r="S69" s="5">
        <f>S68-1</f>
        <v>86</v>
      </c>
      <c r="T69" s="5" t="s">
        <v>4423</v>
      </c>
      <c r="U69" s="168">
        <v>196.2</v>
      </c>
      <c r="V69" s="99">
        <f t="shared" si="16"/>
        <v>211.34126465753425</v>
      </c>
      <c r="W69" s="32">
        <f t="shared" si="17"/>
        <v>215.56808995068494</v>
      </c>
      <c r="X69" s="32">
        <f t="shared" si="18"/>
        <v>219.79491524383562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9"/>
        <v>151</v>
      </c>
      <c r="AM69" s="113">
        <f t="shared" si="10"/>
        <v>5058500000</v>
      </c>
      <c r="AN69" s="20"/>
    </row>
    <row r="70" spans="1:40">
      <c r="G70" t="s">
        <v>4102</v>
      </c>
      <c r="K70" s="168" t="s">
        <v>599</v>
      </c>
      <c r="L70" s="113">
        <f>L16+L17+L25</f>
        <v>679640</v>
      </c>
      <c r="M70" s="168"/>
      <c r="N70" s="113">
        <f>N16+N17+N35</f>
        <v>1135711</v>
      </c>
      <c r="Q70" s="35">
        <v>1049856</v>
      </c>
      <c r="R70" s="5" t="s">
        <v>4445</v>
      </c>
      <c r="S70" s="5">
        <f>S69-6</f>
        <v>80</v>
      </c>
      <c r="T70" s="5" t="s">
        <v>4484</v>
      </c>
      <c r="U70" s="168">
        <v>184.5</v>
      </c>
      <c r="V70" s="99">
        <f t="shared" si="16"/>
        <v>197.88913972602742</v>
      </c>
      <c r="W70" s="32">
        <f t="shared" si="17"/>
        <v>201.84692252054796</v>
      </c>
      <c r="X70" s="32">
        <f t="shared" si="18"/>
        <v>205.80470531506853</v>
      </c>
      <c r="Y70" s="96">
        <v>10000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9"/>
        <v>150</v>
      </c>
      <c r="AM70" s="117">
        <f t="shared" si="10"/>
        <v>1800000000</v>
      </c>
      <c r="AN70" s="20"/>
    </row>
    <row r="71" spans="1:40">
      <c r="G71" t="s">
        <v>4103</v>
      </c>
      <c r="K71" s="56" t="s">
        <v>716</v>
      </c>
      <c r="L71" s="1">
        <f>L69+N7</f>
        <v>368882362.2972464</v>
      </c>
      <c r="M71" s="113"/>
      <c r="N71" s="168"/>
      <c r="O71" s="115"/>
      <c r="P71" s="115"/>
      <c r="Q71" s="35">
        <v>1783234</v>
      </c>
      <c r="R71" s="5" t="s">
        <v>4447</v>
      </c>
      <c r="S71" s="5">
        <f>S70-2</f>
        <v>78</v>
      </c>
      <c r="T71" s="5" t="s">
        <v>4448</v>
      </c>
      <c r="U71" s="168">
        <v>177.5</v>
      </c>
      <c r="V71" s="99">
        <f t="shared" si="16"/>
        <v>190.10882191780826</v>
      </c>
      <c r="W71" s="32">
        <f t="shared" si="17"/>
        <v>193.91099835616441</v>
      </c>
      <c r="X71" s="32">
        <f t="shared" si="18"/>
        <v>197.7131747945206</v>
      </c>
      <c r="Y71" s="96">
        <v>8695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9"/>
        <v>149</v>
      </c>
      <c r="AM71" s="117">
        <f t="shared" si="10"/>
        <v>2309500000</v>
      </c>
      <c r="AN71" s="20"/>
    </row>
    <row r="72" spans="1:40">
      <c r="G72" t="s">
        <v>4107</v>
      </c>
      <c r="O72" s="96"/>
      <c r="P72" s="96"/>
      <c r="Q72" s="35">
        <v>1662335</v>
      </c>
      <c r="R72" s="5" t="s">
        <v>4451</v>
      </c>
      <c r="S72" s="5">
        <f>S71-5</f>
        <v>73</v>
      </c>
      <c r="T72" s="225" t="s">
        <v>4613</v>
      </c>
      <c r="U72" s="168">
        <v>190.3</v>
      </c>
      <c r="V72" s="99">
        <f t="shared" si="16"/>
        <v>203.08816000000004</v>
      </c>
      <c r="W72" s="32">
        <f t="shared" si="17"/>
        <v>207.14992320000005</v>
      </c>
      <c r="X72" s="32">
        <f t="shared" si="18"/>
        <v>211.21168640000005</v>
      </c>
      <c r="Y72" s="96"/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9"/>
        <v>145</v>
      </c>
      <c r="AM72" s="117">
        <f t="shared" si="10"/>
        <v>21750000</v>
      </c>
      <c r="AN72" s="20"/>
    </row>
    <row r="73" spans="1:40">
      <c r="G73" t="s">
        <v>4106</v>
      </c>
      <c r="M73" s="25"/>
      <c r="O73" t="s">
        <v>25</v>
      </c>
      <c r="Q73" s="169">
        <v>159753</v>
      </c>
      <c r="R73" s="168" t="s">
        <v>4577</v>
      </c>
      <c r="S73" s="168">
        <f>S72-25</f>
        <v>48</v>
      </c>
      <c r="T73" s="73" t="s">
        <v>4592</v>
      </c>
      <c r="U73" s="168">
        <v>286</v>
      </c>
      <c r="V73" s="99">
        <f t="shared" si="16"/>
        <v>299.73426849315069</v>
      </c>
      <c r="W73" s="32">
        <f t="shared" si="17"/>
        <v>305.72895386301371</v>
      </c>
      <c r="X73" s="32">
        <f t="shared" si="18"/>
        <v>311.72363923287674</v>
      </c>
      <c r="Y73" s="96"/>
      <c r="AH73" s="180">
        <v>53</v>
      </c>
      <c r="AI73" s="181" t="s">
        <v>4173</v>
      </c>
      <c r="AJ73" s="181">
        <v>29000000</v>
      </c>
      <c r="AK73" s="180">
        <v>15</v>
      </c>
      <c r="AL73" s="180">
        <f t="shared" si="19"/>
        <v>144</v>
      </c>
      <c r="AM73" s="181">
        <f t="shared" si="10"/>
        <v>4176000000</v>
      </c>
      <c r="AN73" s="180" t="s">
        <v>4187</v>
      </c>
    </row>
    <row r="74" spans="1:40">
      <c r="M74" s="25" t="s">
        <v>4081</v>
      </c>
      <c r="O74" s="115"/>
      <c r="P74" s="115"/>
      <c r="Q74" s="169">
        <v>172133</v>
      </c>
      <c r="R74" s="168" t="s">
        <v>4578</v>
      </c>
      <c r="S74" s="168">
        <f>S73-3</f>
        <v>45</v>
      </c>
      <c r="T74" s="73" t="s">
        <v>4593</v>
      </c>
      <c r="U74" s="168">
        <v>287</v>
      </c>
      <c r="V74" s="99">
        <f t="shared" si="16"/>
        <v>300.12179726027404</v>
      </c>
      <c r="W74" s="32">
        <f t="shared" si="17"/>
        <v>306.12423320547953</v>
      </c>
      <c r="X74" s="32">
        <f t="shared" si="18"/>
        <v>312.12666915068502</v>
      </c>
      <c r="Y74" s="96"/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9"/>
        <v>129</v>
      </c>
      <c r="AM74" s="117">
        <f t="shared" si="10"/>
        <v>-16770000</v>
      </c>
      <c r="AN74" s="20" t="s">
        <v>4213</v>
      </c>
    </row>
    <row r="75" spans="1:40">
      <c r="M75" s="177"/>
      <c r="O75" s="115"/>
      <c r="P75" s="115"/>
      <c r="Q75" s="169">
        <v>499973</v>
      </c>
      <c r="R75" s="168" t="s">
        <v>4603</v>
      </c>
      <c r="S75" s="168">
        <f>S74-9</f>
        <v>36</v>
      </c>
      <c r="T75" s="73" t="s">
        <v>4604</v>
      </c>
      <c r="U75" s="168">
        <v>413</v>
      </c>
      <c r="V75" s="99">
        <f t="shared" si="16"/>
        <v>429.0311890410959</v>
      </c>
      <c r="W75" s="32">
        <f t="shared" si="17"/>
        <v>437.61181282191785</v>
      </c>
      <c r="X75" s="32">
        <f t="shared" si="18"/>
        <v>446.19243660273975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9"/>
        <v>122</v>
      </c>
      <c r="AM75" s="117">
        <f>AJ75*AL75</f>
        <v>28304000</v>
      </c>
      <c r="AN75" s="20" t="s">
        <v>4261</v>
      </c>
    </row>
    <row r="76" spans="1:40">
      <c r="D76" s="3"/>
      <c r="E76" s="11" t="s">
        <v>304</v>
      </c>
      <c r="M76" s="96" t="s">
        <v>4712</v>
      </c>
      <c r="Q76" s="169">
        <v>11869317</v>
      </c>
      <c r="R76" s="168" t="s">
        <v>4614</v>
      </c>
      <c r="S76" s="168">
        <f>S75-2</f>
        <v>34</v>
      </c>
      <c r="T76" s="168" t="s">
        <v>4615</v>
      </c>
      <c r="U76" s="168">
        <v>395600</v>
      </c>
      <c r="V76" s="99">
        <f t="shared" si="16"/>
        <v>410348.83506849315</v>
      </c>
      <c r="W76" s="32">
        <f t="shared" si="17"/>
        <v>418555.81176986301</v>
      </c>
      <c r="X76" s="32">
        <f t="shared" si="18"/>
        <v>426762.78847123287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9"/>
        <v>120</v>
      </c>
      <c r="AM76" s="117">
        <f t="shared" si="10"/>
        <v>-20400000</v>
      </c>
      <c r="AN76" s="20"/>
    </row>
    <row r="77" spans="1:40">
      <c r="D77" s="1" t="s">
        <v>305</v>
      </c>
      <c r="E77" s="1">
        <v>70000</v>
      </c>
      <c r="M77" s="122" t="s">
        <v>4417</v>
      </c>
      <c r="O77" s="114"/>
      <c r="Q77" s="35">
        <v>2272487</v>
      </c>
      <c r="R77" s="5" t="s">
        <v>4624</v>
      </c>
      <c r="S77" s="5">
        <f>S76-3</f>
        <v>31</v>
      </c>
      <c r="T77" s="5" t="s">
        <v>4625</v>
      </c>
      <c r="U77" s="168">
        <v>174.9</v>
      </c>
      <c r="V77" s="99">
        <f t="shared" si="16"/>
        <v>181.01814575342468</v>
      </c>
      <c r="W77" s="32">
        <f t="shared" si="17"/>
        <v>184.63850866849316</v>
      </c>
      <c r="X77" s="32">
        <f t="shared" si="18"/>
        <v>188.25887158356167</v>
      </c>
      <c r="Y77">
        <v>13000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9"/>
        <v>117</v>
      </c>
      <c r="AM77" s="117">
        <f t="shared" si="10"/>
        <v>-35100000</v>
      </c>
      <c r="AN77" s="20"/>
    </row>
    <row r="78" spans="1:40">
      <c r="D78" s="1" t="s">
        <v>321</v>
      </c>
      <c r="E78" s="1">
        <v>100000</v>
      </c>
      <c r="M78" s="122" t="s">
        <v>4518</v>
      </c>
      <c r="N78" s="96"/>
      <c r="Q78" s="35">
        <v>3975257</v>
      </c>
      <c r="R78" s="5" t="s">
        <v>4630</v>
      </c>
      <c r="S78" s="5">
        <f>S77-1</f>
        <v>30</v>
      </c>
      <c r="T78" s="5" t="s">
        <v>4631</v>
      </c>
      <c r="U78" s="168">
        <v>173</v>
      </c>
      <c r="V78" s="99">
        <f t="shared" si="16"/>
        <v>178.91896986301373</v>
      </c>
      <c r="W78" s="32">
        <f t="shared" si="17"/>
        <v>182.49734926027401</v>
      </c>
      <c r="X78" s="32">
        <f t="shared" si="18"/>
        <v>186.07572865753428</v>
      </c>
      <c r="Y78" t="s">
        <v>25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114</v>
      </c>
      <c r="AM78" s="117">
        <f t="shared" si="10"/>
        <v>-1299600000</v>
      </c>
      <c r="AN78" s="20"/>
    </row>
    <row r="79" spans="1:40">
      <c r="D79" s="1" t="s">
        <v>306</v>
      </c>
      <c r="E79" s="1">
        <v>80000</v>
      </c>
      <c r="M79" s="122" t="s">
        <v>4595</v>
      </c>
      <c r="N79" s="96"/>
      <c r="P79" t="s">
        <v>25</v>
      </c>
      <c r="Q79" s="35">
        <v>1031662</v>
      </c>
      <c r="R79" s="5" t="s">
        <v>4235</v>
      </c>
      <c r="S79" s="5">
        <f>S78-1</f>
        <v>29</v>
      </c>
      <c r="T79" s="5" t="s">
        <v>4634</v>
      </c>
      <c r="U79" s="168">
        <v>171.2</v>
      </c>
      <c r="V79" s="99">
        <f t="shared" si="16"/>
        <v>176.92605369863011</v>
      </c>
      <c r="W79" s="32">
        <f t="shared" si="17"/>
        <v>180.46457477260273</v>
      </c>
      <c r="X79" s="32">
        <f t="shared" si="18"/>
        <v>184.00309584657532</v>
      </c>
      <c r="Y79" t="s">
        <v>25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 ht="30">
      <c r="D80" s="31" t="s">
        <v>307</v>
      </c>
      <c r="E80" s="1">
        <v>150000</v>
      </c>
      <c r="J80" t="s">
        <v>25</v>
      </c>
      <c r="K80" s="218" t="s">
        <v>4743</v>
      </c>
      <c r="L80" s="22" t="s">
        <v>4803</v>
      </c>
      <c r="M80" s="211" t="s">
        <v>4765</v>
      </c>
      <c r="N80" s="96"/>
      <c r="P80" s="115"/>
      <c r="Q80" s="169">
        <v>2666019</v>
      </c>
      <c r="R80" s="168" t="s">
        <v>4235</v>
      </c>
      <c r="S80" s="168">
        <f>S79</f>
        <v>29</v>
      </c>
      <c r="T80" s="168" t="s">
        <v>4636</v>
      </c>
      <c r="U80" s="168">
        <v>749</v>
      </c>
      <c r="V80" s="99">
        <f t="shared" si="16"/>
        <v>774.05148493150682</v>
      </c>
      <c r="W80" s="32">
        <f t="shared" si="17"/>
        <v>789.53251463013692</v>
      </c>
      <c r="X80" s="32">
        <f t="shared" si="18"/>
        <v>805.01354432876713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>
      <c r="D81" s="31" t="s">
        <v>308</v>
      </c>
      <c r="E81" s="1">
        <v>300000</v>
      </c>
      <c r="M81" s="122"/>
      <c r="N81" s="96"/>
      <c r="P81" s="115" t="s">
        <v>25</v>
      </c>
      <c r="Q81" s="35">
        <v>577500</v>
      </c>
      <c r="R81" s="5" t="s">
        <v>4235</v>
      </c>
      <c r="S81" s="5">
        <f>S80</f>
        <v>29</v>
      </c>
      <c r="T81" s="5" t="s">
        <v>4639</v>
      </c>
      <c r="U81" s="168">
        <v>175</v>
      </c>
      <c r="V81" s="99">
        <f t="shared" si="16"/>
        <v>180.85315068493151</v>
      </c>
      <c r="W81" s="32">
        <f t="shared" si="17"/>
        <v>184.47021369863015</v>
      </c>
      <c r="X81" s="32">
        <f t="shared" si="18"/>
        <v>188.08727671232879</v>
      </c>
      <c r="Y81">
        <v>23000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9"/>
        <v>95</v>
      </c>
      <c r="AM81" s="117">
        <f t="shared" si="10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L82" s="96"/>
      <c r="M82" s="122" t="s">
        <v>4597</v>
      </c>
      <c r="O82" t="s">
        <v>25</v>
      </c>
      <c r="P82" s="115"/>
      <c r="Q82" s="35">
        <v>12636487</v>
      </c>
      <c r="R82" s="5" t="s">
        <v>3692</v>
      </c>
      <c r="S82" s="5">
        <f>S81-2</f>
        <v>27</v>
      </c>
      <c r="T82" s="5" t="s">
        <v>4642</v>
      </c>
      <c r="U82" s="168">
        <v>172.1</v>
      </c>
      <c r="V82" s="99">
        <f t="shared" si="16"/>
        <v>177.59211178082194</v>
      </c>
      <c r="W82" s="32">
        <f t="shared" si="17"/>
        <v>181.14395401643839</v>
      </c>
      <c r="X82" s="32">
        <f t="shared" si="18"/>
        <v>184.69579625205483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94</v>
      </c>
      <c r="AM82" s="117">
        <f t="shared" si="10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s="96">
        <f>O56+O21+O31-O63</f>
        <v>1271705</v>
      </c>
      <c r="N83" s="113">
        <f>M83*P56</f>
        <v>213010587.5</v>
      </c>
      <c r="P83" s="115"/>
      <c r="Q83" s="169">
        <v>1210169</v>
      </c>
      <c r="R83" s="168" t="s">
        <v>4645</v>
      </c>
      <c r="S83" s="168">
        <f>S82-3</f>
        <v>24</v>
      </c>
      <c r="T83" s="168" t="s">
        <v>4646</v>
      </c>
      <c r="U83" s="168">
        <v>1204.7</v>
      </c>
      <c r="V83" s="99">
        <f t="shared" si="16"/>
        <v>1240.3723221917808</v>
      </c>
      <c r="W83" s="32">
        <f t="shared" si="17"/>
        <v>1265.1797686356165</v>
      </c>
      <c r="X83" s="32">
        <f t="shared" si="18"/>
        <v>1289.987215079452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9"/>
        <v>92</v>
      </c>
      <c r="AM83" s="117">
        <f t="shared" si="10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4268</v>
      </c>
      <c r="P84" s="115"/>
      <c r="Q84" s="35">
        <v>12131182</v>
      </c>
      <c r="R84" s="5" t="s">
        <v>4645</v>
      </c>
      <c r="S84" s="5">
        <f>S83</f>
        <v>24</v>
      </c>
      <c r="T84" s="5" t="s">
        <v>4647</v>
      </c>
      <c r="U84" s="168">
        <v>171.8</v>
      </c>
      <c r="V84" s="99">
        <f t="shared" si="16"/>
        <v>176.88716273972605</v>
      </c>
      <c r="W84" s="32">
        <f t="shared" si="17"/>
        <v>180.42490599452057</v>
      </c>
      <c r="X84" s="32">
        <f t="shared" si="18"/>
        <v>183.96264924931509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9"/>
        <v>89</v>
      </c>
      <c r="AM84" s="117">
        <f t="shared" si="10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4601</v>
      </c>
      <c r="N85" t="s">
        <v>25</v>
      </c>
      <c r="P85" s="115"/>
      <c r="Q85" s="35">
        <v>8978273</v>
      </c>
      <c r="R85" s="5" t="s">
        <v>4651</v>
      </c>
      <c r="S85" s="5">
        <f>S84-1</f>
        <v>23</v>
      </c>
      <c r="T85" s="5" t="s">
        <v>4652</v>
      </c>
      <c r="U85" s="168">
        <v>3405.9</v>
      </c>
      <c r="V85" s="99">
        <f t="shared" si="16"/>
        <v>3504.1392197260279</v>
      </c>
      <c r="W85" s="32">
        <f t="shared" ref="W85:W120" si="20">V85*(1+$W$19/100)</f>
        <v>3574.2220041205487</v>
      </c>
      <c r="X85" s="32">
        <f t="shared" ref="X85:X120" si="21">V85*(1+$X$19/100)</f>
        <v>3644.304788515069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9"/>
        <v>85</v>
      </c>
      <c r="AM85" s="117">
        <f t="shared" si="10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P86" s="115"/>
      <c r="Q86" s="169">
        <v>1013762</v>
      </c>
      <c r="R86" s="168" t="s">
        <v>4651</v>
      </c>
      <c r="S86" s="168">
        <f>S85</f>
        <v>23</v>
      </c>
      <c r="T86" s="168" t="s">
        <v>4655</v>
      </c>
      <c r="U86" s="168">
        <v>217.1</v>
      </c>
      <c r="V86" s="99">
        <f t="shared" si="16"/>
        <v>223.36199671232879</v>
      </c>
      <c r="W86" s="32">
        <f t="shared" si="20"/>
        <v>227.82923664657537</v>
      </c>
      <c r="X86" s="32">
        <f t="shared" si="21"/>
        <v>232.29647658082195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9"/>
        <v>80</v>
      </c>
      <c r="AM86" s="117">
        <f t="shared" si="10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949</v>
      </c>
      <c r="N87">
        <v>6.3E-3</v>
      </c>
      <c r="P87" s="115"/>
      <c r="Q87" s="169">
        <v>12953846</v>
      </c>
      <c r="R87" s="168" t="s">
        <v>4651</v>
      </c>
      <c r="S87" s="168">
        <f>S86</f>
        <v>23</v>
      </c>
      <c r="T87" s="168" t="s">
        <v>4792</v>
      </c>
      <c r="U87" s="168">
        <v>4500.5</v>
      </c>
      <c r="V87" s="99">
        <f t="shared" si="16"/>
        <v>4630.3116821917811</v>
      </c>
      <c r="W87" s="32">
        <f t="shared" si="20"/>
        <v>4722.9179158356164</v>
      </c>
      <c r="X87" s="32">
        <f t="shared" si="21"/>
        <v>4815.5241494794527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9"/>
        <v>78</v>
      </c>
      <c r="AM87" s="117">
        <f t="shared" si="10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61</v>
      </c>
      <c r="N88">
        <v>4.8999999999999998E-3</v>
      </c>
      <c r="P88" s="115"/>
      <c r="Q88" s="35">
        <v>4068640</v>
      </c>
      <c r="R88" s="5" t="s">
        <v>4659</v>
      </c>
      <c r="S88" s="5">
        <f>S87-1</f>
        <v>22</v>
      </c>
      <c r="T88" s="5" t="s">
        <v>4660</v>
      </c>
      <c r="U88" s="168">
        <v>3322.3</v>
      </c>
      <c r="V88" s="99">
        <f t="shared" si="16"/>
        <v>3415.5792613698636</v>
      </c>
      <c r="W88" s="32">
        <f t="shared" si="20"/>
        <v>3483.8908465972609</v>
      </c>
      <c r="X88" s="32">
        <f t="shared" si="21"/>
        <v>3552.2024318246581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75</v>
      </c>
      <c r="AM88" s="117">
        <f t="shared" si="10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</v>
      </c>
      <c r="N89">
        <f>N87+N88</f>
        <v>1.12E-2</v>
      </c>
      <c r="O89" t="s">
        <v>25</v>
      </c>
      <c r="P89" t="s">
        <v>25</v>
      </c>
      <c r="Q89" s="35">
        <v>12656982</v>
      </c>
      <c r="R89" s="5" t="s">
        <v>4659</v>
      </c>
      <c r="S89" s="5">
        <f>S88</f>
        <v>22</v>
      </c>
      <c r="T89" s="5" t="s">
        <v>4661</v>
      </c>
      <c r="U89" s="168">
        <v>5249.9</v>
      </c>
      <c r="V89" s="99">
        <f t="shared" si="16"/>
        <v>5397.2999320547951</v>
      </c>
      <c r="W89" s="32">
        <f t="shared" si="20"/>
        <v>5505.2459306958908</v>
      </c>
      <c r="X89" s="32">
        <f t="shared" si="21"/>
        <v>5613.1919293369874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9"/>
        <v>75</v>
      </c>
      <c r="AM89" s="117">
        <f t="shared" si="10"/>
        <v>183750000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69">
        <v>100905</v>
      </c>
      <c r="R90" s="168" t="s">
        <v>4662</v>
      </c>
      <c r="S90" s="168">
        <f>S89-1</f>
        <v>21</v>
      </c>
      <c r="T90" s="168" t="s">
        <v>4668</v>
      </c>
      <c r="U90" s="168">
        <v>372</v>
      </c>
      <c r="V90" s="99">
        <f t="shared" si="16"/>
        <v>382.15916712328766</v>
      </c>
      <c r="W90" s="32">
        <f t="shared" si="20"/>
        <v>389.80235046575342</v>
      </c>
      <c r="X90" s="32">
        <f t="shared" si="21"/>
        <v>397.44553380821918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9"/>
        <v>74</v>
      </c>
      <c r="AM90" s="117">
        <f t="shared" si="10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35">
        <v>48637534</v>
      </c>
      <c r="R91" s="5" t="s">
        <v>4662</v>
      </c>
      <c r="S91" s="5">
        <f>S90</f>
        <v>21</v>
      </c>
      <c r="T91" s="5" t="s">
        <v>4666</v>
      </c>
      <c r="U91" s="168">
        <v>5330</v>
      </c>
      <c r="V91" s="99">
        <f t="shared" si="16"/>
        <v>5475.5601095890415</v>
      </c>
      <c r="W91" s="32">
        <f t="shared" si="20"/>
        <v>5585.0713117808227</v>
      </c>
      <c r="X91" s="32">
        <f t="shared" si="21"/>
        <v>5694.582513972603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9"/>
        <v>73</v>
      </c>
      <c r="AM91" s="117">
        <f t="shared" si="10"/>
        <v>193304000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35">
        <v>40048573</v>
      </c>
      <c r="R92" s="5" t="s">
        <v>4662</v>
      </c>
      <c r="S92" s="5">
        <f>S91</f>
        <v>21</v>
      </c>
      <c r="T92" s="5" t="s">
        <v>4667</v>
      </c>
      <c r="U92" s="168">
        <v>498.9</v>
      </c>
      <c r="V92" s="99">
        <f t="shared" ref="V92:V117" si="22">U92*(1+$N$89+$Q$15*S92/36500)</f>
        <v>512.52475397260275</v>
      </c>
      <c r="W92" s="32">
        <f t="shared" si="20"/>
        <v>522.77524905205485</v>
      </c>
      <c r="X92" s="32">
        <f t="shared" si="21"/>
        <v>533.02574413150683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9"/>
        <v>72</v>
      </c>
      <c r="AM92" s="117">
        <f t="shared" si="10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s="195" t="s">
        <v>4548</v>
      </c>
      <c r="Q93" s="169">
        <v>1000495</v>
      </c>
      <c r="R93" s="168" t="s">
        <v>4678</v>
      </c>
      <c r="S93" s="168">
        <f>S92-1</f>
        <v>20</v>
      </c>
      <c r="T93" s="168" t="s">
        <v>4756</v>
      </c>
      <c r="U93" s="168">
        <v>724.8</v>
      </c>
      <c r="V93" s="99">
        <f t="shared" si="22"/>
        <v>744.0379791780822</v>
      </c>
      <c r="W93" s="32">
        <f t="shared" si="20"/>
        <v>758.91873876164391</v>
      </c>
      <c r="X93" s="32">
        <f t="shared" si="21"/>
        <v>773.79949834520551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68</v>
      </c>
      <c r="AM93" s="117">
        <f t="shared" si="10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4549</v>
      </c>
      <c r="Q94" s="35">
        <v>37856769</v>
      </c>
      <c r="R94" s="5" t="s">
        <v>4678</v>
      </c>
      <c r="S94" s="5">
        <f>S93</f>
        <v>20</v>
      </c>
      <c r="T94" s="5" t="s">
        <v>4680</v>
      </c>
      <c r="U94" s="168">
        <v>5393.6</v>
      </c>
      <c r="V94" s="99">
        <f t="shared" si="22"/>
        <v>5536.7594432876722</v>
      </c>
      <c r="W94" s="32">
        <f t="shared" si="20"/>
        <v>5647.4946321534253</v>
      </c>
      <c r="X94" s="32">
        <f t="shared" si="21"/>
        <v>5758.2298210191793</v>
      </c>
      <c r="Y94" s="115"/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66</v>
      </c>
      <c r="AM94" s="117">
        <f t="shared" si="10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35">
        <v>155151</v>
      </c>
      <c r="R95" s="5" t="s">
        <v>4690</v>
      </c>
      <c r="S95" s="5">
        <f>S94-3</f>
        <v>17</v>
      </c>
      <c r="T95" s="5" t="s">
        <v>4692</v>
      </c>
      <c r="U95" s="168">
        <v>5325.9</v>
      </c>
      <c r="V95" s="99">
        <f t="shared" si="22"/>
        <v>5455.0056526027402</v>
      </c>
      <c r="W95" s="32">
        <f t="shared" si="20"/>
        <v>5564.1057656547955</v>
      </c>
      <c r="X95" s="32">
        <f t="shared" si="21"/>
        <v>5673.2058787068499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0" si="23">AL96+AK95</f>
        <v>66</v>
      </c>
      <c r="AM95" s="117">
        <f t="shared" si="10"/>
        <v>149754000</v>
      </c>
      <c r="AN95" s="99"/>
    </row>
    <row r="96" spans="4:52">
      <c r="D96" s="32" t="s">
        <v>314</v>
      </c>
      <c r="E96" s="1">
        <v>140000</v>
      </c>
      <c r="M96" t="s">
        <v>4397</v>
      </c>
      <c r="Q96" s="169">
        <v>109726</v>
      </c>
      <c r="R96" s="168" t="s">
        <v>4690</v>
      </c>
      <c r="S96" s="168">
        <f>S95</f>
        <v>17</v>
      </c>
      <c r="T96" s="168" t="s">
        <v>4693</v>
      </c>
      <c r="U96" s="168">
        <v>3900.7</v>
      </c>
      <c r="V96" s="99">
        <f t="shared" si="22"/>
        <v>3995.2572427397263</v>
      </c>
      <c r="W96" s="32">
        <f t="shared" si="20"/>
        <v>4075.1623875945211</v>
      </c>
      <c r="X96" s="32">
        <f t="shared" si="21"/>
        <v>4155.0675324493159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65</v>
      </c>
      <c r="AM96" s="117">
        <f t="shared" si="10"/>
        <v>48750000</v>
      </c>
      <c r="AN96" s="99"/>
    </row>
    <row r="97" spans="4:47">
      <c r="D97" s="2" t="s">
        <v>478</v>
      </c>
      <c r="E97" s="3">
        <v>1083333</v>
      </c>
      <c r="M97" t="s">
        <v>4416</v>
      </c>
      <c r="Q97" s="35">
        <v>8938737</v>
      </c>
      <c r="R97" s="5" t="s">
        <v>4696</v>
      </c>
      <c r="S97" s="5">
        <f>S96-1</f>
        <v>16</v>
      </c>
      <c r="T97" s="5" t="s">
        <v>4698</v>
      </c>
      <c r="U97" s="168">
        <v>5179.5</v>
      </c>
      <c r="V97" s="99">
        <f t="shared" si="22"/>
        <v>5301.0834410958905</v>
      </c>
      <c r="W97" s="32">
        <f t="shared" si="20"/>
        <v>5407.1051099178085</v>
      </c>
      <c r="X97" s="32">
        <f t="shared" si="21"/>
        <v>5513.1267787397264</v>
      </c>
      <c r="AH97" s="99">
        <v>77</v>
      </c>
      <c r="AI97" s="113" t="s">
        <v>4524</v>
      </c>
      <c r="AJ97" s="113">
        <v>1900000</v>
      </c>
      <c r="AK97" s="99">
        <v>3</v>
      </c>
      <c r="AL97" s="99">
        <f t="shared" si="23"/>
        <v>61</v>
      </c>
      <c r="AM97" s="117">
        <f t="shared" si="10"/>
        <v>115900000</v>
      </c>
      <c r="AN97" s="99"/>
    </row>
    <row r="98" spans="4:47">
      <c r="D98" s="2"/>
      <c r="E98" s="3"/>
      <c r="H98" s="96"/>
      <c r="M98" t="s">
        <v>4551</v>
      </c>
      <c r="Q98" s="35">
        <v>2595417</v>
      </c>
      <c r="R98" s="5" t="s">
        <v>4706</v>
      </c>
      <c r="S98" s="5">
        <f>S97-1</f>
        <v>15</v>
      </c>
      <c r="T98" s="5" t="s">
        <v>4707</v>
      </c>
      <c r="U98" s="168">
        <v>4803</v>
      </c>
      <c r="V98" s="99">
        <f t="shared" si="22"/>
        <v>4912.0609972602742</v>
      </c>
      <c r="W98" s="32">
        <f t="shared" si="20"/>
        <v>5010.3022172054798</v>
      </c>
      <c r="X98" s="32">
        <f t="shared" si="21"/>
        <v>5108.5434371506853</v>
      </c>
      <c r="Y98" t="s">
        <v>25</v>
      </c>
      <c r="AH98" s="99">
        <v>78</v>
      </c>
      <c r="AI98" s="113" t="s">
        <v>4537</v>
      </c>
      <c r="AJ98" s="113">
        <v>6400000</v>
      </c>
      <c r="AK98" s="99">
        <v>1</v>
      </c>
      <c r="AL98" s="99">
        <f t="shared" si="23"/>
        <v>58</v>
      </c>
      <c r="AM98" s="117">
        <f t="shared" si="10"/>
        <v>371200000</v>
      </c>
      <c r="AN98" s="99"/>
    </row>
    <row r="99" spans="4:47">
      <c r="D99" s="2"/>
      <c r="E99" s="3"/>
      <c r="M99" t="s">
        <v>4401</v>
      </c>
      <c r="Q99" s="169">
        <v>2505816</v>
      </c>
      <c r="R99" s="168" t="s">
        <v>4706</v>
      </c>
      <c r="S99" s="168">
        <f>S98</f>
        <v>15</v>
      </c>
      <c r="T99" s="168" t="s">
        <v>4708</v>
      </c>
      <c r="U99" s="168">
        <v>3723</v>
      </c>
      <c r="V99" s="99">
        <f t="shared" si="22"/>
        <v>3807.5376000000006</v>
      </c>
      <c r="W99" s="32">
        <f t="shared" si="20"/>
        <v>3883.6883520000006</v>
      </c>
      <c r="X99" s="32">
        <f t="shared" si="21"/>
        <v>3959.8391040000006</v>
      </c>
      <c r="AH99" s="99">
        <v>79</v>
      </c>
      <c r="AI99" s="113" t="s">
        <v>4535</v>
      </c>
      <c r="AJ99" s="113">
        <v>5000</v>
      </c>
      <c r="AK99" s="99">
        <v>5</v>
      </c>
      <c r="AL99" s="99">
        <f t="shared" si="23"/>
        <v>57</v>
      </c>
      <c r="AM99" s="117">
        <f t="shared" si="10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4552</v>
      </c>
      <c r="Q100" s="169">
        <v>183283</v>
      </c>
      <c r="R100" s="215" t="s">
        <v>4710</v>
      </c>
      <c r="S100" s="215">
        <f>S99-1</f>
        <v>14</v>
      </c>
      <c r="T100" s="215" t="s">
        <v>4726</v>
      </c>
      <c r="U100" s="215">
        <v>347.5</v>
      </c>
      <c r="V100" s="99">
        <f t="shared" si="22"/>
        <v>355.12405479452065</v>
      </c>
      <c r="W100" s="32">
        <f t="shared" si="20"/>
        <v>362.22653589041107</v>
      </c>
      <c r="X100" s="32">
        <f t="shared" si="21"/>
        <v>369.3290169863015</v>
      </c>
      <c r="AH100" s="99">
        <v>80</v>
      </c>
      <c r="AI100" s="113" t="s">
        <v>4569</v>
      </c>
      <c r="AJ100" s="113">
        <v>-1750148</v>
      </c>
      <c r="AK100" s="99">
        <v>1</v>
      </c>
      <c r="AL100" s="99">
        <f t="shared" si="23"/>
        <v>52</v>
      </c>
      <c r="AM100" s="117">
        <f t="shared" si="10"/>
        <v>-91007696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P101" s="115"/>
      <c r="Q101" s="169">
        <v>177438</v>
      </c>
      <c r="R101" s="215" t="s">
        <v>4710</v>
      </c>
      <c r="S101" s="215">
        <f t="shared" ref="S101:S106" si="24">S100</f>
        <v>14</v>
      </c>
      <c r="T101" s="215" t="s">
        <v>4720</v>
      </c>
      <c r="U101" s="215">
        <v>207.3</v>
      </c>
      <c r="V101" s="99">
        <f t="shared" si="22"/>
        <v>211.8481052054795</v>
      </c>
      <c r="W101" s="32">
        <f t="shared" si="20"/>
        <v>216.08506730958908</v>
      </c>
      <c r="X101" s="32">
        <f t="shared" si="21"/>
        <v>220.32202941369869</v>
      </c>
      <c r="Y101" t="s">
        <v>25</v>
      </c>
      <c r="AH101" s="99">
        <v>81</v>
      </c>
      <c r="AI101" s="113" t="s">
        <v>4572</v>
      </c>
      <c r="AJ101" s="113">
        <v>400000</v>
      </c>
      <c r="AK101" s="99">
        <v>0</v>
      </c>
      <c r="AL101" s="99">
        <f t="shared" si="23"/>
        <v>51</v>
      </c>
      <c r="AM101" s="117">
        <f t="shared" si="10"/>
        <v>20400000</v>
      </c>
      <c r="AN101" s="99"/>
    </row>
    <row r="102" spans="4:47">
      <c r="K102" s="96"/>
      <c r="L102" s="96"/>
      <c r="M102" s="96"/>
      <c r="N102" s="96"/>
      <c r="P102" s="128"/>
      <c r="Q102" s="35">
        <v>559461</v>
      </c>
      <c r="R102" s="5" t="s">
        <v>4710</v>
      </c>
      <c r="S102" s="5">
        <f t="shared" si="24"/>
        <v>14</v>
      </c>
      <c r="T102" s="5" t="s">
        <v>4721</v>
      </c>
      <c r="U102" s="215">
        <v>508.1</v>
      </c>
      <c r="V102" s="99">
        <f t="shared" si="22"/>
        <v>519.24757479452069</v>
      </c>
      <c r="W102" s="32">
        <f t="shared" si="20"/>
        <v>529.63252629041108</v>
      </c>
      <c r="X102" s="32">
        <f t="shared" si="21"/>
        <v>540.01747778630158</v>
      </c>
      <c r="AH102" s="99">
        <v>82</v>
      </c>
      <c r="AI102" s="113" t="s">
        <v>4572</v>
      </c>
      <c r="AJ102" s="113">
        <v>-2105421</v>
      </c>
      <c r="AK102" s="99">
        <v>1</v>
      </c>
      <c r="AL102" s="99">
        <f t="shared" si="23"/>
        <v>51</v>
      </c>
      <c r="AM102" s="117">
        <f t="shared" si="10"/>
        <v>-107376471</v>
      </c>
      <c r="AN102" s="99"/>
      <c r="AO102" t="s">
        <v>25</v>
      </c>
    </row>
    <row r="103" spans="4:47">
      <c r="P103" s="128"/>
      <c r="Q103" s="35">
        <v>169080</v>
      </c>
      <c r="R103" s="5" t="s">
        <v>4710</v>
      </c>
      <c r="S103" s="5">
        <f t="shared" si="24"/>
        <v>14</v>
      </c>
      <c r="T103" s="5" t="s">
        <v>4722</v>
      </c>
      <c r="U103" s="215">
        <v>168.3</v>
      </c>
      <c r="V103" s="99">
        <f t="shared" si="22"/>
        <v>171.99245589041101</v>
      </c>
      <c r="W103" s="32">
        <f t="shared" si="20"/>
        <v>175.43230500821923</v>
      </c>
      <c r="X103" s="32">
        <f t="shared" si="21"/>
        <v>178.87215412602745</v>
      </c>
      <c r="AH103" s="99">
        <v>83</v>
      </c>
      <c r="AI103" s="113" t="s">
        <v>4577</v>
      </c>
      <c r="AJ103" s="113">
        <v>-5527618</v>
      </c>
      <c r="AK103" s="99">
        <v>0</v>
      </c>
      <c r="AL103" s="99">
        <f t="shared" si="23"/>
        <v>50</v>
      </c>
      <c r="AM103" s="117">
        <f t="shared" si="10"/>
        <v>-276380900</v>
      </c>
      <c r="AN103" s="99"/>
    </row>
    <row r="104" spans="4:47">
      <c r="P104" s="115"/>
      <c r="Q104" s="35">
        <v>9376000</v>
      </c>
      <c r="R104" s="5" t="s">
        <v>4710</v>
      </c>
      <c r="S104" s="5">
        <f>S103</f>
        <v>14</v>
      </c>
      <c r="T104" s="5" t="s">
        <v>4723</v>
      </c>
      <c r="U104" s="215">
        <v>3184.1</v>
      </c>
      <c r="V104" s="99">
        <f t="shared" si="22"/>
        <v>3253.958281643836</v>
      </c>
      <c r="W104" s="32">
        <f t="shared" si="20"/>
        <v>3319.037447276713</v>
      </c>
      <c r="X104" s="32">
        <f t="shared" si="21"/>
        <v>3384.1166129095895</v>
      </c>
      <c r="AH104" s="99">
        <v>84</v>
      </c>
      <c r="AI104" s="113" t="s">
        <v>4577</v>
      </c>
      <c r="AJ104" s="113">
        <v>3900000</v>
      </c>
      <c r="AK104" s="99">
        <v>3</v>
      </c>
      <c r="AL104" s="99">
        <f t="shared" si="23"/>
        <v>50</v>
      </c>
      <c r="AM104" s="117">
        <f t="shared" si="10"/>
        <v>195000000</v>
      </c>
      <c r="AN104" s="99"/>
    </row>
    <row r="105" spans="4:47">
      <c r="F105" s="99" t="s">
        <v>4755</v>
      </c>
      <c r="G105" s="99" t="s">
        <v>941</v>
      </c>
      <c r="H105" s="99" t="s">
        <v>4729</v>
      </c>
      <c r="I105" s="99" t="s">
        <v>4728</v>
      </c>
      <c r="J105" s="32" t="s">
        <v>4554</v>
      </c>
      <c r="K105" s="168" t="s">
        <v>4713</v>
      </c>
      <c r="L105" s="32" t="s">
        <v>4715</v>
      </c>
      <c r="M105" s="32" t="s">
        <v>4681</v>
      </c>
      <c r="N105" s="168" t="s">
        <v>4682</v>
      </c>
      <c r="Q105" s="169">
        <v>128675</v>
      </c>
      <c r="R105" s="215" t="s">
        <v>4710</v>
      </c>
      <c r="S105" s="215">
        <f t="shared" si="24"/>
        <v>14</v>
      </c>
      <c r="T105" s="215" t="s">
        <v>4724</v>
      </c>
      <c r="U105" s="215">
        <v>699.9</v>
      </c>
      <c r="V105" s="99">
        <f t="shared" si="22"/>
        <v>715.25561424657542</v>
      </c>
      <c r="W105" s="32">
        <f t="shared" si="20"/>
        <v>729.56072653150693</v>
      </c>
      <c r="X105" s="32">
        <f t="shared" si="21"/>
        <v>743.86583881643844</v>
      </c>
      <c r="AH105" s="99">
        <v>85</v>
      </c>
      <c r="AI105" s="113" t="s">
        <v>4578</v>
      </c>
      <c r="AJ105" s="113">
        <v>-3969754</v>
      </c>
      <c r="AK105" s="99">
        <v>1</v>
      </c>
      <c r="AL105" s="99">
        <f t="shared" si="23"/>
        <v>47</v>
      </c>
      <c r="AM105" s="117">
        <f t="shared" si="10"/>
        <v>-186578438</v>
      </c>
      <c r="AN105" s="99"/>
    </row>
    <row r="106" spans="4:47">
      <c r="F106" s="184">
        <f t="shared" ref="F106:F111" si="25">$L$114/G106</f>
        <v>26388.059701492537</v>
      </c>
      <c r="G106" s="184">
        <f>P56</f>
        <v>167.5</v>
      </c>
      <c r="H106" s="184" t="s">
        <v>4733</v>
      </c>
      <c r="I106" s="184" t="s">
        <v>4732</v>
      </c>
      <c r="J106" s="220" t="s">
        <v>4244</v>
      </c>
      <c r="K106" s="201">
        <v>60</v>
      </c>
      <c r="L106" s="221">
        <f t="shared" ref="L106:L112" si="26">K106*$L$114</f>
        <v>265200000</v>
      </c>
      <c r="M106" s="221">
        <f>N21+N31+N56</f>
        <v>226875065</v>
      </c>
      <c r="N106" s="185">
        <f t="shared" ref="N106:N112" si="27">L106-M106</f>
        <v>38324935</v>
      </c>
      <c r="Q106" s="169">
        <v>101201</v>
      </c>
      <c r="R106" s="215" t="s">
        <v>4710</v>
      </c>
      <c r="S106" s="215">
        <f t="shared" si="24"/>
        <v>14</v>
      </c>
      <c r="T106" s="215" t="s">
        <v>4725</v>
      </c>
      <c r="U106" s="215">
        <v>290.3</v>
      </c>
      <c r="V106" s="99">
        <f t="shared" si="22"/>
        <v>296.6691024657535</v>
      </c>
      <c r="W106" s="32">
        <f t="shared" si="20"/>
        <v>302.60248451506857</v>
      </c>
      <c r="X106" s="32">
        <f t="shared" si="21"/>
        <v>308.53586656438364</v>
      </c>
      <c r="Y106" t="s">
        <v>25</v>
      </c>
      <c r="AH106" s="99">
        <v>86</v>
      </c>
      <c r="AI106" s="113" t="s">
        <v>4590</v>
      </c>
      <c r="AJ106" s="113">
        <v>-25574455</v>
      </c>
      <c r="AK106" s="99">
        <v>0</v>
      </c>
      <c r="AL106" s="99">
        <f t="shared" si="23"/>
        <v>46</v>
      </c>
      <c r="AM106" s="117">
        <f t="shared" si="10"/>
        <v>-1176424930</v>
      </c>
      <c r="AN106" s="99"/>
      <c r="AP106" t="s">
        <v>25</v>
      </c>
    </row>
    <row r="107" spans="4:47">
      <c r="F107" s="99">
        <f t="shared" si="25"/>
        <v>887.81761574771519</v>
      </c>
      <c r="G107" s="99">
        <f>P47</f>
        <v>4978.5</v>
      </c>
      <c r="H107" s="99" t="s">
        <v>4735</v>
      </c>
      <c r="I107" s="99" t="s">
        <v>4734</v>
      </c>
      <c r="J107" s="32" t="s">
        <v>4401</v>
      </c>
      <c r="K107" s="168">
        <v>30</v>
      </c>
      <c r="L107" s="1">
        <f t="shared" si="26"/>
        <v>132600000</v>
      </c>
      <c r="M107" s="1">
        <f>N25+N47+N28</f>
        <v>109402537.5</v>
      </c>
      <c r="N107" s="113">
        <f t="shared" si="27"/>
        <v>23197462.5</v>
      </c>
      <c r="Q107" s="35">
        <v>13100555</v>
      </c>
      <c r="R107" s="5" t="s">
        <v>4740</v>
      </c>
      <c r="S107" s="5">
        <f>S106-1</f>
        <v>13</v>
      </c>
      <c r="T107" s="5" t="s">
        <v>4744</v>
      </c>
      <c r="U107" s="215">
        <v>3180.5</v>
      </c>
      <c r="V107" s="99">
        <f t="shared" si="22"/>
        <v>3247.8394630136991</v>
      </c>
      <c r="W107" s="32">
        <f t="shared" si="20"/>
        <v>3312.7962522739731</v>
      </c>
      <c r="X107" s="32">
        <f t="shared" si="21"/>
        <v>3377.7530415342471</v>
      </c>
      <c r="AH107" s="99">
        <v>87</v>
      </c>
      <c r="AI107" s="113" t="s">
        <v>4590</v>
      </c>
      <c r="AJ107" s="113">
        <v>4000000</v>
      </c>
      <c r="AK107" s="99">
        <v>1</v>
      </c>
      <c r="AL107" s="99">
        <f t="shared" si="23"/>
        <v>46</v>
      </c>
      <c r="AM107" s="117">
        <f t="shared" si="10"/>
        <v>184000000</v>
      </c>
      <c r="AN107" s="99"/>
    </row>
    <row r="108" spans="4:47">
      <c r="F108" s="184">
        <f t="shared" si="25"/>
        <v>1425.392627946725</v>
      </c>
      <c r="G108" s="184">
        <f>P44</f>
        <v>3100.9</v>
      </c>
      <c r="H108" s="184" t="s">
        <v>3882</v>
      </c>
      <c r="I108" s="184" t="s">
        <v>4736</v>
      </c>
      <c r="J108" s="220" t="s">
        <v>4397</v>
      </c>
      <c r="K108" s="201">
        <v>30</v>
      </c>
      <c r="L108" s="221">
        <f t="shared" si="26"/>
        <v>132600000</v>
      </c>
      <c r="M108" s="221">
        <f>N44</f>
        <v>66337553.700000003</v>
      </c>
      <c r="N108" s="185">
        <f t="shared" si="27"/>
        <v>66262446.299999997</v>
      </c>
      <c r="Q108" s="35">
        <v>622942</v>
      </c>
      <c r="R108" s="5" t="s">
        <v>4740</v>
      </c>
      <c r="S108" s="5">
        <f>S107</f>
        <v>13</v>
      </c>
      <c r="T108" s="5" t="s">
        <v>4745</v>
      </c>
      <c r="U108" s="215">
        <v>503.3</v>
      </c>
      <c r="V108" s="99">
        <f t="shared" si="22"/>
        <v>513.95617095890418</v>
      </c>
      <c r="W108" s="32">
        <f t="shared" si="20"/>
        <v>524.23529437808224</v>
      </c>
      <c r="X108" s="32">
        <f t="shared" si="21"/>
        <v>534.51441779726042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45</v>
      </c>
      <c r="AM108" s="117">
        <f t="shared" si="10"/>
        <v>-225000000</v>
      </c>
      <c r="AN108" s="99"/>
    </row>
    <row r="109" spans="4:47">
      <c r="F109" s="99">
        <f t="shared" si="25"/>
        <v>9074.1120919729001</v>
      </c>
      <c r="G109" s="99">
        <f>P48</f>
        <v>487.1</v>
      </c>
      <c r="H109" s="99" t="s">
        <v>4731</v>
      </c>
      <c r="I109" s="99" t="s">
        <v>4730</v>
      </c>
      <c r="J109" s="32" t="s">
        <v>4416</v>
      </c>
      <c r="K109" s="168">
        <v>30</v>
      </c>
      <c r="L109" s="1">
        <f t="shared" si="26"/>
        <v>132600000</v>
      </c>
      <c r="M109" s="1">
        <f>N48+N23+N29</f>
        <v>46580398.799999997</v>
      </c>
      <c r="N109" s="113">
        <f t="shared" si="27"/>
        <v>86019601.200000003</v>
      </c>
      <c r="Q109" s="35">
        <v>1472140</v>
      </c>
      <c r="R109" s="5" t="s">
        <v>4750</v>
      </c>
      <c r="S109" s="5">
        <f>S108-3</f>
        <v>10</v>
      </c>
      <c r="T109" s="5" t="s">
        <v>4754</v>
      </c>
      <c r="U109" s="168">
        <v>502</v>
      </c>
      <c r="V109" s="99">
        <f t="shared" si="22"/>
        <v>511.47335890410966</v>
      </c>
      <c r="W109" s="32">
        <f t="shared" si="20"/>
        <v>521.7028260821919</v>
      </c>
      <c r="X109" s="32">
        <f t="shared" si="21"/>
        <v>531.93229326027404</v>
      </c>
      <c r="AD109" s="96"/>
      <c r="AE109"/>
      <c r="AF109"/>
      <c r="AH109" s="99">
        <v>89</v>
      </c>
      <c r="AI109" s="113" t="s">
        <v>4598</v>
      </c>
      <c r="AJ109" s="113">
        <v>10000000</v>
      </c>
      <c r="AK109" s="99">
        <v>4</v>
      </c>
      <c r="AL109" s="99">
        <f t="shared" si="23"/>
        <v>43</v>
      </c>
      <c r="AM109" s="117">
        <f t="shared" si="10"/>
        <v>430000000</v>
      </c>
      <c r="AN109" s="99"/>
    </row>
    <row r="110" spans="4:47">
      <c r="F110" s="184">
        <f t="shared" si="25"/>
        <v>951.78621417343186</v>
      </c>
      <c r="G110" s="184">
        <f>P50</f>
        <v>4643.8999999999996</v>
      </c>
      <c r="H110" s="184" t="s">
        <v>4737</v>
      </c>
      <c r="I110" s="184" t="s">
        <v>4736</v>
      </c>
      <c r="J110" s="220" t="s">
        <v>4550</v>
      </c>
      <c r="K110" s="201">
        <v>19</v>
      </c>
      <c r="L110" s="221">
        <f t="shared" si="26"/>
        <v>83980000</v>
      </c>
      <c r="M110" s="221">
        <f>N50</f>
        <v>13304773.499999998</v>
      </c>
      <c r="N110" s="185">
        <f t="shared" si="27"/>
        <v>70675226.5</v>
      </c>
      <c r="Q110" s="35">
        <v>4394591</v>
      </c>
      <c r="R110" s="5" t="s">
        <v>4757</v>
      </c>
      <c r="S110" s="5">
        <f>S109-1</f>
        <v>9</v>
      </c>
      <c r="T110" s="5" t="s">
        <v>4758</v>
      </c>
      <c r="U110" s="168">
        <v>481.7</v>
      </c>
      <c r="V110" s="99">
        <f t="shared" si="22"/>
        <v>490.42074958904118</v>
      </c>
      <c r="W110" s="32">
        <f t="shared" si="20"/>
        <v>500.22916458082199</v>
      </c>
      <c r="X110" s="32">
        <f t="shared" si="21"/>
        <v>510.03757957260285</v>
      </c>
      <c r="AH110" s="99">
        <v>90</v>
      </c>
      <c r="AI110" s="113" t="s">
        <v>4600</v>
      </c>
      <c r="AJ110" s="113">
        <v>-5241937</v>
      </c>
      <c r="AK110" s="99">
        <v>0</v>
      </c>
      <c r="AL110" s="99">
        <f t="shared" si="23"/>
        <v>39</v>
      </c>
      <c r="AM110" s="117">
        <f t="shared" si="10"/>
        <v>-204435543</v>
      </c>
      <c r="AN110" s="99"/>
    </row>
    <row r="111" spans="4:47">
      <c r="F111" s="99">
        <f t="shared" si="25"/>
        <v>1131.7083162638264</v>
      </c>
      <c r="G111" s="99">
        <f>P49</f>
        <v>3905.6</v>
      </c>
      <c r="H111" s="99" t="s">
        <v>4738</v>
      </c>
      <c r="I111" s="99" t="s">
        <v>4739</v>
      </c>
      <c r="J111" s="32" t="s">
        <v>4551</v>
      </c>
      <c r="K111" s="168">
        <v>19</v>
      </c>
      <c r="L111" s="1">
        <f t="shared" si="26"/>
        <v>83980000</v>
      </c>
      <c r="M111" s="1">
        <f>N49</f>
        <v>2726108.8</v>
      </c>
      <c r="N111" s="113">
        <f t="shared" si="27"/>
        <v>81253891.200000003</v>
      </c>
      <c r="Q111" s="117">
        <v>4085110</v>
      </c>
      <c r="R111" s="19" t="s">
        <v>4760</v>
      </c>
      <c r="S111" s="19">
        <f>S110-1</f>
        <v>8</v>
      </c>
      <c r="T111" s="19" t="s">
        <v>4761</v>
      </c>
      <c r="U111" s="219">
        <v>3115.9</v>
      </c>
      <c r="V111" s="99">
        <f t="shared" si="22"/>
        <v>3169.9203156164385</v>
      </c>
      <c r="W111" s="32">
        <f t="shared" si="20"/>
        <v>3233.3187219287674</v>
      </c>
      <c r="X111" s="32">
        <f t="shared" si="21"/>
        <v>3296.7171282410964</v>
      </c>
      <c r="AH111" s="99">
        <v>91</v>
      </c>
      <c r="AI111" s="113" t="s">
        <v>4600</v>
      </c>
      <c r="AJ111" s="113">
        <v>21900000</v>
      </c>
      <c r="AK111" s="99">
        <v>2</v>
      </c>
      <c r="AL111" s="99">
        <f t="shared" si="23"/>
        <v>39</v>
      </c>
      <c r="AM111" s="117">
        <f t="shared" si="10"/>
        <v>854100000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/>
      <c r="I112" s="184"/>
      <c r="J112" s="220" t="s">
        <v>4695</v>
      </c>
      <c r="K112" s="201">
        <v>5</v>
      </c>
      <c r="L112" s="221">
        <f t="shared" si="26"/>
        <v>22100000</v>
      </c>
      <c r="M112" s="221">
        <f>N22+N45+N46+N52+N51+N55+N54+N53+N57+N30+N24</f>
        <v>16651483.6</v>
      </c>
      <c r="N112" s="185">
        <f t="shared" si="27"/>
        <v>5448516.4000000004</v>
      </c>
      <c r="Q112" s="117">
        <v>205386</v>
      </c>
      <c r="R112" s="19" t="s">
        <v>4762</v>
      </c>
      <c r="S112" s="19">
        <f>S111</f>
        <v>8</v>
      </c>
      <c r="T112" s="19" t="s">
        <v>4763</v>
      </c>
      <c r="U112" s="219">
        <v>178.1</v>
      </c>
      <c r="V112" s="99">
        <f t="shared" si="22"/>
        <v>181.18771726027398</v>
      </c>
      <c r="W112" s="32">
        <f t="shared" si="20"/>
        <v>184.81147160547945</v>
      </c>
      <c r="X112" s="32">
        <f t="shared" si="21"/>
        <v>188.43522595068495</v>
      </c>
      <c r="AH112" s="99">
        <v>92</v>
      </c>
      <c r="AI112" s="113" t="s">
        <v>4610</v>
      </c>
      <c r="AJ112" s="113">
        <v>-15000000</v>
      </c>
      <c r="AK112" s="99">
        <v>0</v>
      </c>
      <c r="AL112" s="99">
        <f t="shared" si="23"/>
        <v>37</v>
      </c>
      <c r="AM112" s="117">
        <f t="shared" si="10"/>
        <v>-555000000</v>
      </c>
      <c r="AN112" s="99"/>
      <c r="AO112" t="s">
        <v>25</v>
      </c>
    </row>
    <row r="113" spans="6:43">
      <c r="F113" s="99"/>
      <c r="G113" s="99"/>
      <c r="H113" s="99"/>
      <c r="I113" s="99"/>
      <c r="J113" s="168" t="s">
        <v>4716</v>
      </c>
      <c r="K113" s="168">
        <f>SUM(K106:K112)</f>
        <v>193</v>
      </c>
      <c r="L113" s="168"/>
      <c r="M113" s="168"/>
      <c r="N113" s="169"/>
      <c r="Q113" s="117">
        <v>101496</v>
      </c>
      <c r="R113" s="19" t="s">
        <v>4764</v>
      </c>
      <c r="S113" s="19">
        <f>S112-1</f>
        <v>7</v>
      </c>
      <c r="T113" s="19" t="s">
        <v>4766</v>
      </c>
      <c r="U113" s="219">
        <v>168.1</v>
      </c>
      <c r="V113" s="99">
        <f t="shared" si="22"/>
        <v>170.88539397260277</v>
      </c>
      <c r="W113" s="32">
        <f t="shared" si="20"/>
        <v>174.30310185205482</v>
      </c>
      <c r="X113" s="32">
        <f t="shared" si="21"/>
        <v>177.72080973150688</v>
      </c>
      <c r="Y113" t="s">
        <v>25</v>
      </c>
      <c r="AH113" s="99">
        <v>93</v>
      </c>
      <c r="AI113" s="113" t="s">
        <v>4610</v>
      </c>
      <c r="AJ113" s="113">
        <v>3000000</v>
      </c>
      <c r="AK113" s="99">
        <v>1</v>
      </c>
      <c r="AL113" s="99">
        <f t="shared" si="23"/>
        <v>37</v>
      </c>
      <c r="AM113" s="117">
        <f t="shared" si="10"/>
        <v>111000000</v>
      </c>
      <c r="AN113" s="99"/>
    </row>
    <row r="114" spans="6:43">
      <c r="F114" s="184"/>
      <c r="G114" s="184"/>
      <c r="H114" s="184"/>
      <c r="I114" s="184"/>
      <c r="J114" s="201"/>
      <c r="K114" s="201">
        <f>3+45+5+19</f>
        <v>72</v>
      </c>
      <c r="L114" s="39">
        <v>4420000</v>
      </c>
      <c r="M114" s="221">
        <f>K114*L114</f>
        <v>318240000</v>
      </c>
      <c r="N114" s="185">
        <f>SUM(N106:N112)-M114</f>
        <v>52942079.099999964</v>
      </c>
      <c r="Q114" s="117">
        <v>8398607</v>
      </c>
      <c r="R114" s="19" t="s">
        <v>4776</v>
      </c>
      <c r="S114" s="19">
        <f>S113-7</f>
        <v>0</v>
      </c>
      <c r="T114" s="19" t="s">
        <v>4778</v>
      </c>
      <c r="U114" s="219">
        <v>3120.5</v>
      </c>
      <c r="V114" s="99">
        <f t="shared" si="22"/>
        <v>3155.4496000000004</v>
      </c>
      <c r="W114" s="32">
        <f t="shared" si="20"/>
        <v>3218.5585920000003</v>
      </c>
      <c r="X114" s="32">
        <f t="shared" si="21"/>
        <v>3281.6675840000007</v>
      </c>
      <c r="AH114" s="99">
        <v>94</v>
      </c>
      <c r="AI114" s="113" t="s">
        <v>4614</v>
      </c>
      <c r="AJ114" s="113">
        <v>-2103736</v>
      </c>
      <c r="AK114" s="99">
        <v>0</v>
      </c>
      <c r="AL114" s="99">
        <f t="shared" si="23"/>
        <v>36</v>
      </c>
      <c r="AM114" s="117">
        <f t="shared" si="10"/>
        <v>-75734496</v>
      </c>
      <c r="AN114" s="99"/>
    </row>
    <row r="115" spans="6:43" ht="45">
      <c r="F115" s="99"/>
      <c r="G115" s="99"/>
      <c r="H115" s="99"/>
      <c r="I115" s="99"/>
      <c r="J115" s="168"/>
      <c r="K115" s="216" t="s">
        <v>4794</v>
      </c>
      <c r="L115" s="168" t="s">
        <v>4254</v>
      </c>
      <c r="M115" s="168" t="s">
        <v>4704</v>
      </c>
      <c r="N115" s="168" t="s">
        <v>4705</v>
      </c>
      <c r="Q115" s="117">
        <v>18565999</v>
      </c>
      <c r="R115" s="19" t="s">
        <v>4779</v>
      </c>
      <c r="S115" s="19">
        <f>S114-1</f>
        <v>-1</v>
      </c>
      <c r="T115" s="19" t="s">
        <v>4789</v>
      </c>
      <c r="U115" s="219">
        <v>3112.4</v>
      </c>
      <c r="V115" s="99">
        <f t="shared" si="22"/>
        <v>3144.8712854794526</v>
      </c>
      <c r="W115" s="32">
        <f t="shared" si="20"/>
        <v>3207.7687111890418</v>
      </c>
      <c r="X115" s="32">
        <f t="shared" si="21"/>
        <v>3270.6661368986306</v>
      </c>
      <c r="AH115" s="99">
        <v>95</v>
      </c>
      <c r="AI115" s="113" t="s">
        <v>4614</v>
      </c>
      <c r="AJ115" s="113">
        <v>220000</v>
      </c>
      <c r="AK115" s="99">
        <v>3</v>
      </c>
      <c r="AL115" s="99">
        <f t="shared" si="23"/>
        <v>36</v>
      </c>
      <c r="AM115" s="117">
        <f t="shared" si="10"/>
        <v>7920000</v>
      </c>
      <c r="AN115" s="99"/>
      <c r="AQ115" t="s">
        <v>25</v>
      </c>
    </row>
    <row r="116" spans="6:43">
      <c r="F116" s="184"/>
      <c r="G116" s="184"/>
      <c r="H116" s="184"/>
      <c r="I116" s="184"/>
      <c r="J116" s="201" t="s">
        <v>4714</v>
      </c>
      <c r="K116" s="201"/>
      <c r="L116" s="201"/>
      <c r="M116" s="201"/>
      <c r="N116" s="201"/>
      <c r="Q116" s="117">
        <v>986501</v>
      </c>
      <c r="R116" s="19" t="s">
        <v>4779</v>
      </c>
      <c r="S116" s="19">
        <f>S115</f>
        <v>-1</v>
      </c>
      <c r="T116" s="19" t="s">
        <v>4791</v>
      </c>
      <c r="U116" s="219">
        <v>411.2</v>
      </c>
      <c r="V116" s="99">
        <f t="shared" si="22"/>
        <v>415.48999890410965</v>
      </c>
      <c r="W116" s="32">
        <f t="shared" si="20"/>
        <v>423.79979888219185</v>
      </c>
      <c r="X116" s="32">
        <f t="shared" si="21"/>
        <v>432.10959886027405</v>
      </c>
      <c r="Y116" t="s">
        <v>25</v>
      </c>
      <c r="AH116" s="99">
        <v>96</v>
      </c>
      <c r="AI116" s="113" t="s">
        <v>4624</v>
      </c>
      <c r="AJ116" s="113">
        <v>4000000</v>
      </c>
      <c r="AK116" s="99">
        <v>1</v>
      </c>
      <c r="AL116" s="99">
        <f t="shared" si="23"/>
        <v>33</v>
      </c>
      <c r="AM116" s="117">
        <f t="shared" si="10"/>
        <v>132000000</v>
      </c>
      <c r="AN116" s="99"/>
    </row>
    <row r="117" spans="6:43">
      <c r="M117" t="s">
        <v>25</v>
      </c>
      <c r="Q117" s="117">
        <v>144241</v>
      </c>
      <c r="R117" s="19" t="s">
        <v>4779</v>
      </c>
      <c r="S117" s="19">
        <f>S116</f>
        <v>-1</v>
      </c>
      <c r="T117" s="19" t="s">
        <v>4796</v>
      </c>
      <c r="U117" s="219">
        <v>830</v>
      </c>
      <c r="V117" s="99">
        <f t="shared" si="22"/>
        <v>838.65928767123307</v>
      </c>
      <c r="W117" s="32">
        <f t="shared" si="20"/>
        <v>855.4324734246577</v>
      </c>
      <c r="X117" s="32">
        <f t="shared" si="21"/>
        <v>872.20565917808244</v>
      </c>
      <c r="AH117" s="99">
        <v>97</v>
      </c>
      <c r="AI117" s="113" t="s">
        <v>4630</v>
      </c>
      <c r="AJ117" s="113">
        <v>-9000000</v>
      </c>
      <c r="AK117" s="99">
        <v>0</v>
      </c>
      <c r="AL117" s="99">
        <f t="shared" si="23"/>
        <v>32</v>
      </c>
      <c r="AM117" s="117">
        <f t="shared" si="10"/>
        <v>-288000000</v>
      </c>
      <c r="AN117" s="99"/>
      <c r="AP117" t="s">
        <v>25</v>
      </c>
    </row>
    <row r="118" spans="6:43">
      <c r="Q118" s="117"/>
      <c r="R118" s="19"/>
      <c r="S118" s="19"/>
      <c r="T118" s="19"/>
      <c r="U118" s="219"/>
      <c r="V118" s="99"/>
      <c r="W118" s="32"/>
      <c r="X118" s="32"/>
      <c r="Y118" s="122" t="s">
        <v>25</v>
      </c>
      <c r="AH118" s="99">
        <v>98</v>
      </c>
      <c r="AI118" s="113" t="s">
        <v>4630</v>
      </c>
      <c r="AJ118" s="113">
        <v>13900000</v>
      </c>
      <c r="AK118" s="99">
        <v>2</v>
      </c>
      <c r="AL118" s="99">
        <f t="shared" si="23"/>
        <v>32</v>
      </c>
      <c r="AM118" s="117">
        <f t="shared" si="10"/>
        <v>444800000</v>
      </c>
      <c r="AN118" s="99"/>
    </row>
    <row r="119" spans="6:43">
      <c r="K119" s="168" t="s">
        <v>4554</v>
      </c>
      <c r="L119" s="168" t="s">
        <v>4555</v>
      </c>
      <c r="M119" s="168" t="s">
        <v>4443</v>
      </c>
      <c r="N119" s="56" t="s">
        <v>190</v>
      </c>
      <c r="P119" s="114"/>
      <c r="Q119" s="169"/>
      <c r="R119" s="168"/>
      <c r="S119" s="168"/>
      <c r="T119" s="168"/>
      <c r="U119" s="168"/>
      <c r="V119" s="99"/>
      <c r="W119" s="32"/>
      <c r="X119" s="32"/>
      <c r="AH119" s="99">
        <v>99</v>
      </c>
      <c r="AI119" s="113" t="s">
        <v>4640</v>
      </c>
      <c r="AJ119" s="113">
        <v>-8127577</v>
      </c>
      <c r="AK119" s="99">
        <v>1</v>
      </c>
      <c r="AL119" s="99">
        <f t="shared" si="23"/>
        <v>30</v>
      </c>
      <c r="AM119" s="117">
        <f t="shared" si="10"/>
        <v>-243827310</v>
      </c>
      <c r="AN119" s="99"/>
      <c r="AO119" t="s">
        <v>25</v>
      </c>
    </row>
    <row r="120" spans="6:43">
      <c r="K120" s="168" t="s">
        <v>4244</v>
      </c>
      <c r="L120" s="169">
        <v>1100000</v>
      </c>
      <c r="M120" s="169">
        <v>1637000</v>
      </c>
      <c r="N120" s="168">
        <f t="shared" ref="N120:N128" si="28">(M120-L120)*100/L120</f>
        <v>48.81818181818182</v>
      </c>
      <c r="Q120" s="169"/>
      <c r="R120" s="168"/>
      <c r="S120" s="168"/>
      <c r="T120" s="168"/>
      <c r="U120" s="168"/>
      <c r="V120" s="99">
        <f>U120*(1+$N$89+$Q$15*S120/36500)</f>
        <v>0</v>
      </c>
      <c r="W120" s="32">
        <f t="shared" si="20"/>
        <v>0</v>
      </c>
      <c r="X120" s="32">
        <f t="shared" si="21"/>
        <v>0</v>
      </c>
      <c r="Y120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29</v>
      </c>
      <c r="AM120" s="117">
        <f t="shared" si="10"/>
        <v>457983921</v>
      </c>
      <c r="AN120" s="99"/>
      <c r="AO120" t="s">
        <v>25</v>
      </c>
      <c r="AP120" t="s">
        <v>25</v>
      </c>
    </row>
    <row r="121" spans="6:43">
      <c r="K121" s="5" t="s">
        <v>4549</v>
      </c>
      <c r="L121" s="169">
        <v>1100000</v>
      </c>
      <c r="M121" s="169">
        <v>4748000</v>
      </c>
      <c r="N121" s="168">
        <f t="shared" si="28"/>
        <v>331.63636363636363</v>
      </c>
      <c r="Q121" s="113">
        <f>SUM(N44:N58)-SUM(Q60:Q120)</f>
        <v>-39335378.300000012</v>
      </c>
      <c r="R121" s="112"/>
      <c r="S121" s="112"/>
      <c r="T121" s="112"/>
      <c r="U121" s="168"/>
      <c r="V121" s="99" t="s">
        <v>25</v>
      </c>
      <c r="W121" s="32"/>
      <c r="X121" s="32"/>
      <c r="AH121" s="99">
        <v>101</v>
      </c>
      <c r="AI121" s="113" t="s">
        <v>4645</v>
      </c>
      <c r="AJ121" s="113">
        <v>8800000</v>
      </c>
      <c r="AK121" s="99">
        <v>0</v>
      </c>
      <c r="AL121" s="99">
        <f t="shared" ref="AL121:AL125" si="29">AL122+AK121</f>
        <v>26</v>
      </c>
      <c r="AM121" s="117">
        <f t="shared" ref="AM121:AM147" si="30">AJ121*AL121</f>
        <v>228800000</v>
      </c>
      <c r="AN121" s="99"/>
      <c r="AP121" t="s">
        <v>25</v>
      </c>
    </row>
    <row r="122" spans="6:43" ht="45">
      <c r="K122" s="5" t="s">
        <v>4550</v>
      </c>
      <c r="L122" s="169">
        <v>1100000</v>
      </c>
      <c r="M122" s="169">
        <v>5137000</v>
      </c>
      <c r="N122" s="168">
        <f t="shared" si="28"/>
        <v>367</v>
      </c>
      <c r="Q122" s="26"/>
      <c r="R122" s="182"/>
      <c r="S122" s="182"/>
      <c r="T122" t="s">
        <v>25</v>
      </c>
      <c r="U122" s="96" t="s">
        <v>25</v>
      </c>
      <c r="V122" s="96" t="s">
        <v>25</v>
      </c>
      <c r="AH122" s="121">
        <v>102</v>
      </c>
      <c r="AI122" s="79" t="s">
        <v>4645</v>
      </c>
      <c r="AJ122" s="79">
        <v>13071612</v>
      </c>
      <c r="AK122" s="121">
        <v>1</v>
      </c>
      <c r="AL122" s="121">
        <f t="shared" si="29"/>
        <v>26</v>
      </c>
      <c r="AM122" s="79">
        <f t="shared" si="30"/>
        <v>339861912</v>
      </c>
      <c r="AN122" s="210" t="s">
        <v>4648</v>
      </c>
      <c r="AQ122" t="s">
        <v>25</v>
      </c>
    </row>
    <row r="123" spans="6:43">
      <c r="K123" s="19" t="s">
        <v>4397</v>
      </c>
      <c r="L123" s="169">
        <v>1100000</v>
      </c>
      <c r="M123" s="169">
        <v>4300000</v>
      </c>
      <c r="N123" s="168">
        <f t="shared" si="28"/>
        <v>290.90909090909093</v>
      </c>
      <c r="P123" s="114"/>
      <c r="R123" s="32" t="s">
        <v>4589</v>
      </c>
      <c r="S123" s="32" t="s">
        <v>950</v>
      </c>
      <c r="T123" t="s">
        <v>25</v>
      </c>
      <c r="U123" s="96" t="s">
        <v>25</v>
      </c>
      <c r="V123" s="96" t="s">
        <v>25</v>
      </c>
      <c r="W123" s="96" t="s">
        <v>25</v>
      </c>
      <c r="X123" s="122" t="s">
        <v>25</v>
      </c>
      <c r="Y123" t="s">
        <v>25</v>
      </c>
      <c r="AH123" s="89">
        <v>103</v>
      </c>
      <c r="AI123" s="90" t="s">
        <v>4651</v>
      </c>
      <c r="AJ123" s="90">
        <v>16727037</v>
      </c>
      <c r="AK123" s="89">
        <v>0</v>
      </c>
      <c r="AL123" s="89">
        <f t="shared" si="29"/>
        <v>25</v>
      </c>
      <c r="AM123" s="90">
        <f t="shared" si="30"/>
        <v>418175925</v>
      </c>
      <c r="AN123" s="89" t="s">
        <v>4663</v>
      </c>
    </row>
    <row r="124" spans="6:43">
      <c r="K124" s="5" t="s">
        <v>4416</v>
      </c>
      <c r="L124" s="169">
        <v>1100000</v>
      </c>
      <c r="M124" s="169">
        <v>3191000</v>
      </c>
      <c r="N124" s="168">
        <f t="shared" si="28"/>
        <v>190.09090909090909</v>
      </c>
      <c r="R124" s="32">
        <v>3065</v>
      </c>
      <c r="S124" s="169">
        <v>13858128</v>
      </c>
      <c r="U124" s="96" t="s">
        <v>25</v>
      </c>
      <c r="V124" s="122" t="s">
        <v>25</v>
      </c>
      <c r="X124" t="s">
        <v>25</v>
      </c>
      <c r="AH124" s="99">
        <v>104</v>
      </c>
      <c r="AI124" s="113" t="s">
        <v>4651</v>
      </c>
      <c r="AJ124" s="113">
        <v>12000000</v>
      </c>
      <c r="AK124" s="99">
        <v>1</v>
      </c>
      <c r="AL124" s="99">
        <f t="shared" si="29"/>
        <v>25</v>
      </c>
      <c r="AM124" s="117">
        <f t="shared" si="30"/>
        <v>300000000</v>
      </c>
      <c r="AN124" s="99" t="s">
        <v>4664</v>
      </c>
    </row>
    <row r="125" spans="6:43">
      <c r="K125" s="5" t="s">
        <v>4551</v>
      </c>
      <c r="L125" s="169">
        <v>1100000</v>
      </c>
      <c r="M125" s="169">
        <v>5623000</v>
      </c>
      <c r="N125" s="168">
        <f t="shared" si="28"/>
        <v>411.18181818181819</v>
      </c>
      <c r="Q125" t="s">
        <v>25</v>
      </c>
      <c r="R125" s="32">
        <v>200</v>
      </c>
      <c r="S125" s="1">
        <f>S124*R125/R124</f>
        <v>904282.41435562808</v>
      </c>
      <c r="U125" s="96" t="s">
        <v>25</v>
      </c>
      <c r="V125" s="122" t="s">
        <v>25</v>
      </c>
      <c r="W125" s="96" t="s">
        <v>25</v>
      </c>
      <c r="X125" t="s">
        <v>25</v>
      </c>
      <c r="Y125" t="s">
        <v>25</v>
      </c>
      <c r="AH125" s="89">
        <v>105</v>
      </c>
      <c r="AI125" s="90" t="s">
        <v>4565</v>
      </c>
      <c r="AJ125" s="90">
        <v>88697667</v>
      </c>
      <c r="AK125" s="89">
        <v>1</v>
      </c>
      <c r="AL125" s="89">
        <f t="shared" si="29"/>
        <v>24</v>
      </c>
      <c r="AM125" s="90">
        <f t="shared" si="30"/>
        <v>2128744008</v>
      </c>
      <c r="AN125" s="89" t="s">
        <v>4665</v>
      </c>
      <c r="AP125" t="s">
        <v>25</v>
      </c>
    </row>
    <row r="126" spans="6:43">
      <c r="K126" s="19" t="s">
        <v>4401</v>
      </c>
      <c r="L126" s="169">
        <v>1100000</v>
      </c>
      <c r="M126" s="169">
        <v>7728000</v>
      </c>
      <c r="N126" s="168">
        <f t="shared" si="28"/>
        <v>602.5454545454545</v>
      </c>
      <c r="R126" s="32">
        <f>R124-R125</f>
        <v>2865</v>
      </c>
      <c r="S126" s="1">
        <f>R126*S124/R124</f>
        <v>12953845.585644372</v>
      </c>
      <c r="V126" s="96"/>
      <c r="W126"/>
      <c r="AH126" s="99">
        <v>106</v>
      </c>
      <c r="AI126" s="113" t="s">
        <v>4568</v>
      </c>
      <c r="AJ126" s="113">
        <v>101000</v>
      </c>
      <c r="AK126" s="99">
        <v>0</v>
      </c>
      <c r="AL126" s="99">
        <f>AL127+AK126</f>
        <v>23</v>
      </c>
      <c r="AM126" s="117">
        <f t="shared" si="30"/>
        <v>2323000</v>
      </c>
      <c r="AN126" s="99"/>
    </row>
    <row r="127" spans="6:43">
      <c r="K127" s="5" t="s">
        <v>4553</v>
      </c>
      <c r="L127" s="169">
        <v>1100000</v>
      </c>
      <c r="M127" s="169">
        <v>2904000</v>
      </c>
      <c r="N127" s="168">
        <f t="shared" si="28"/>
        <v>164</v>
      </c>
      <c r="V127" s="96"/>
      <c r="W127"/>
      <c r="AH127" s="149">
        <v>107</v>
      </c>
      <c r="AI127" s="190" t="s">
        <v>4662</v>
      </c>
      <c r="AJ127" s="190">
        <v>-48200</v>
      </c>
      <c r="AK127" s="149">
        <v>0</v>
      </c>
      <c r="AL127" s="149">
        <f t="shared" ref="AL127:AL147" si="31">AL128+AK127</f>
        <v>23</v>
      </c>
      <c r="AM127" s="190">
        <f t="shared" si="30"/>
        <v>-1108600</v>
      </c>
      <c r="AN127" s="149" t="s">
        <v>4673</v>
      </c>
      <c r="AQ127" t="s">
        <v>25</v>
      </c>
    </row>
    <row r="128" spans="6:43">
      <c r="K128" s="56" t="s">
        <v>1086</v>
      </c>
      <c r="L128" s="169">
        <v>1100000</v>
      </c>
      <c r="M128" s="169">
        <v>3400000</v>
      </c>
      <c r="N128" s="168">
        <f t="shared" si="28"/>
        <v>209.09090909090909</v>
      </c>
      <c r="P128" s="114"/>
      <c r="Q128" s="99" t="s">
        <v>4470</v>
      </c>
      <c r="R128" s="99" t="s">
        <v>4472</v>
      </c>
      <c r="S128" s="99"/>
      <c r="T128" s="99" t="s">
        <v>4473</v>
      </c>
      <c r="U128" s="99"/>
      <c r="V128" s="99"/>
      <c r="W128" s="99" t="s">
        <v>4594</v>
      </c>
      <c r="AH128" s="89">
        <v>108</v>
      </c>
      <c r="AI128" s="90" t="s">
        <v>4662</v>
      </c>
      <c r="AJ128" s="90">
        <v>39327293</v>
      </c>
      <c r="AK128" s="89">
        <v>4</v>
      </c>
      <c r="AL128" s="149">
        <f t="shared" si="31"/>
        <v>23</v>
      </c>
      <c r="AM128" s="190">
        <f t="shared" si="30"/>
        <v>904527739</v>
      </c>
      <c r="AN128" s="89" t="s">
        <v>4674</v>
      </c>
    </row>
    <row r="129" spans="11:44">
      <c r="K129" s="208" t="s">
        <v>4585</v>
      </c>
      <c r="P129">
        <f>28066+R131</f>
        <v>1271435</v>
      </c>
      <c r="Q129" s="113">
        <v>1000</v>
      </c>
      <c r="R129" s="99">
        <v>0.25</v>
      </c>
      <c r="S129" s="99"/>
      <c r="T129" s="99">
        <f>1-R129</f>
        <v>0.75</v>
      </c>
      <c r="U129" s="99"/>
      <c r="V129" s="99"/>
      <c r="W129" s="99"/>
      <c r="AH129" s="89">
        <v>109</v>
      </c>
      <c r="AI129" s="90" t="s">
        <v>4690</v>
      </c>
      <c r="AJ129" s="90">
        <v>8749050</v>
      </c>
      <c r="AK129" s="89">
        <v>1</v>
      </c>
      <c r="AL129" s="89">
        <f t="shared" si="31"/>
        <v>19</v>
      </c>
      <c r="AM129" s="90">
        <f t="shared" si="30"/>
        <v>166231950</v>
      </c>
      <c r="AN129" s="89" t="s">
        <v>4694</v>
      </c>
    </row>
    <row r="130" spans="11:44">
      <c r="K130" s="208" t="s">
        <v>4586</v>
      </c>
      <c r="Q130" s="168" t="s">
        <v>4457</v>
      </c>
      <c r="R130" s="168" t="s">
        <v>4475</v>
      </c>
      <c r="S130" s="168" t="s">
        <v>4477</v>
      </c>
      <c r="T130" s="168" t="s">
        <v>180</v>
      </c>
      <c r="U130" s="168" t="s">
        <v>4471</v>
      </c>
      <c r="V130" s="56" t="s">
        <v>4474</v>
      </c>
      <c r="W130" s="99"/>
      <c r="X130" s="115"/>
      <c r="AH130" s="99">
        <v>110</v>
      </c>
      <c r="AI130" s="113" t="s">
        <v>4696</v>
      </c>
      <c r="AJ130" s="113">
        <v>60000</v>
      </c>
      <c r="AK130" s="99">
        <v>1</v>
      </c>
      <c r="AL130" s="99">
        <f t="shared" si="31"/>
        <v>18</v>
      </c>
      <c r="AM130" s="117">
        <f t="shared" si="30"/>
        <v>1080000</v>
      </c>
      <c r="AN130" s="99" t="s">
        <v>4697</v>
      </c>
      <c r="AQ130" t="s">
        <v>25</v>
      </c>
    </row>
    <row r="131" spans="11:44">
      <c r="K131" s="208" t="s">
        <v>4587</v>
      </c>
      <c r="Q131" s="168" t="s">
        <v>751</v>
      </c>
      <c r="R131" s="56">
        <v>1243369</v>
      </c>
      <c r="S131" s="113">
        <f>R131*$T$182</f>
        <v>295386833.31700617</v>
      </c>
      <c r="T131" s="168" t="s">
        <v>4469</v>
      </c>
      <c r="U131" s="168">
        <f>$Q$129*$T$129*S131/$R$155</f>
        <v>434.15520941044576</v>
      </c>
      <c r="V131" s="95">
        <f>S131+U131</f>
        <v>295387267.47221559</v>
      </c>
      <c r="W131" s="99">
        <f>R131*100/U179</f>
        <v>57.887361254726102</v>
      </c>
      <c r="X131" s="224"/>
      <c r="AH131" s="20">
        <v>111</v>
      </c>
      <c r="AI131" s="117" t="s">
        <v>4706</v>
      </c>
      <c r="AJ131" s="117">
        <v>4750000</v>
      </c>
      <c r="AK131" s="20">
        <v>0</v>
      </c>
      <c r="AL131" s="99">
        <f t="shared" si="31"/>
        <v>17</v>
      </c>
      <c r="AM131" s="117">
        <f t="shared" si="30"/>
        <v>80750000</v>
      </c>
      <c r="AN131" s="20"/>
    </row>
    <row r="132" spans="11:44">
      <c r="Q132" s="168" t="s">
        <v>4459</v>
      </c>
      <c r="R132" s="56">
        <v>846712</v>
      </c>
      <c r="S132" s="113">
        <f>R132*$T$182</f>
        <v>201153138.2972464</v>
      </c>
      <c r="T132" s="168" t="s">
        <v>4469</v>
      </c>
      <c r="U132" s="168">
        <f>$Q$129*$T$129*S132/$R$155+Q129*R129</f>
        <v>545.65191481397505</v>
      </c>
      <c r="V132" s="95">
        <f>S132+U132</f>
        <v>201153683.9491612</v>
      </c>
      <c r="W132" s="99">
        <f>R132*100/U179</f>
        <v>39.42025530853001</v>
      </c>
      <c r="X132" s="115"/>
      <c r="AH132" s="89">
        <v>112</v>
      </c>
      <c r="AI132" s="90" t="s">
        <v>4706</v>
      </c>
      <c r="AJ132" s="90">
        <v>13101160</v>
      </c>
      <c r="AK132" s="89">
        <v>1</v>
      </c>
      <c r="AL132" s="89">
        <f t="shared" si="31"/>
        <v>17</v>
      </c>
      <c r="AM132" s="90">
        <f t="shared" si="30"/>
        <v>222719720</v>
      </c>
      <c r="AN132" s="89" t="s">
        <v>4711</v>
      </c>
    </row>
    <row r="133" spans="11:44">
      <c r="P133" s="114"/>
      <c r="Q133" s="168" t="s">
        <v>4458</v>
      </c>
      <c r="R133" s="56">
        <v>57830</v>
      </c>
      <c r="S133" s="113">
        <f>R133*$T$182</f>
        <v>13738657.285747407</v>
      </c>
      <c r="T133" s="168" t="s">
        <v>4469</v>
      </c>
      <c r="U133" s="168">
        <f>$Q$129*$T$129*S133/$R$155</f>
        <v>20.192875775579154</v>
      </c>
      <c r="V133" s="95">
        <f>S133+U133</f>
        <v>13738677.478623183</v>
      </c>
      <c r="W133" s="99">
        <f>R133*100/U179</f>
        <v>2.6923834367438872</v>
      </c>
      <c r="X133" s="115"/>
      <c r="AH133" s="20">
        <v>113</v>
      </c>
      <c r="AI133" s="117" t="s">
        <v>4710</v>
      </c>
      <c r="AJ133" s="117">
        <v>-980000</v>
      </c>
      <c r="AK133" s="20">
        <v>0</v>
      </c>
      <c r="AL133" s="99">
        <f t="shared" si="31"/>
        <v>16</v>
      </c>
      <c r="AM133" s="117">
        <f t="shared" si="30"/>
        <v>-15680000</v>
      </c>
      <c r="AN133" s="20"/>
    </row>
    <row r="134" spans="11:44">
      <c r="P134" s="114"/>
      <c r="Q134" s="168"/>
      <c r="R134" s="56"/>
      <c r="S134" s="168"/>
      <c r="T134" s="168"/>
      <c r="U134" s="168"/>
      <c r="V134" s="99"/>
      <c r="W134" s="99"/>
      <c r="X134" s="115"/>
      <c r="AH134" s="89">
        <v>114</v>
      </c>
      <c r="AI134" s="90" t="s">
        <v>4710</v>
      </c>
      <c r="AJ134" s="90">
        <v>13301790</v>
      </c>
      <c r="AK134" s="89">
        <v>0</v>
      </c>
      <c r="AL134" s="89">
        <f t="shared" si="31"/>
        <v>16</v>
      </c>
      <c r="AM134" s="90">
        <f t="shared" si="30"/>
        <v>212828640</v>
      </c>
      <c r="AN134" s="89" t="s">
        <v>4711</v>
      </c>
    </row>
    <row r="135" spans="11:44">
      <c r="Q135" s="168"/>
      <c r="R135" s="56"/>
      <c r="S135" s="168"/>
      <c r="T135" s="168"/>
      <c r="U135" s="168"/>
      <c r="V135" s="168"/>
      <c r="W135" s="99"/>
      <c r="X135" s="96"/>
      <c r="AH135" s="20">
        <v>115</v>
      </c>
      <c r="AI135" s="117" t="s">
        <v>4710</v>
      </c>
      <c r="AJ135" s="117">
        <v>404000</v>
      </c>
      <c r="AK135" s="20">
        <v>5</v>
      </c>
      <c r="AL135" s="99">
        <f t="shared" si="31"/>
        <v>16</v>
      </c>
      <c r="AM135" s="117">
        <f t="shared" si="30"/>
        <v>6464000</v>
      </c>
      <c r="AN135" s="20" t="s">
        <v>4727</v>
      </c>
      <c r="AQ135" t="s">
        <v>25</v>
      </c>
    </row>
    <row r="136" spans="11:44">
      <c r="Q136" s="168"/>
      <c r="R136" s="168"/>
      <c r="S136" s="168"/>
      <c r="T136" s="168"/>
      <c r="U136" s="168"/>
      <c r="V136" s="168"/>
      <c r="W136" s="99"/>
      <c r="X136" s="96"/>
      <c r="AH136" s="89">
        <v>116</v>
      </c>
      <c r="AI136" s="90" t="s">
        <v>4757</v>
      </c>
      <c r="AJ136" s="90">
        <v>4291628</v>
      </c>
      <c r="AK136" s="89">
        <v>2</v>
      </c>
      <c r="AL136" s="89">
        <f t="shared" si="31"/>
        <v>11</v>
      </c>
      <c r="AM136" s="90">
        <f t="shared" si="30"/>
        <v>47207908</v>
      </c>
      <c r="AN136" s="89" t="s">
        <v>4759</v>
      </c>
    </row>
    <row r="137" spans="11:44">
      <c r="Q137" s="99"/>
      <c r="R137" s="99"/>
      <c r="S137" s="99"/>
      <c r="T137" s="99" t="s">
        <v>25</v>
      </c>
      <c r="U137" s="99"/>
      <c r="V137" s="99"/>
      <c r="W137" s="99"/>
      <c r="X137" s="96"/>
      <c r="Y137" t="s">
        <v>25</v>
      </c>
      <c r="Z137" t="s">
        <v>25</v>
      </c>
      <c r="AH137" s="20">
        <v>117</v>
      </c>
      <c r="AI137" s="117" t="s">
        <v>4764</v>
      </c>
      <c r="AJ137" s="117">
        <v>1000</v>
      </c>
      <c r="AK137" s="20">
        <v>5</v>
      </c>
      <c r="AL137" s="20">
        <f t="shared" si="31"/>
        <v>9</v>
      </c>
      <c r="AM137" s="117">
        <f t="shared" si="30"/>
        <v>9000</v>
      </c>
      <c r="AN137" s="20"/>
    </row>
    <row r="138" spans="11:44">
      <c r="Q138" s="99"/>
      <c r="R138" s="99"/>
      <c r="S138" s="99"/>
      <c r="T138" s="99"/>
      <c r="U138" s="99"/>
      <c r="V138" s="99"/>
      <c r="W138" s="99"/>
      <c r="X138" s="96"/>
      <c r="Y138" t="s">
        <v>25</v>
      </c>
      <c r="AH138" s="121">
        <v>118</v>
      </c>
      <c r="AI138" s="79" t="s">
        <v>4774</v>
      </c>
      <c r="AJ138" s="79">
        <v>8739459</v>
      </c>
      <c r="AK138" s="121">
        <v>2</v>
      </c>
      <c r="AL138" s="121">
        <f t="shared" si="31"/>
        <v>4</v>
      </c>
      <c r="AM138" s="79">
        <f t="shared" si="30"/>
        <v>34957836</v>
      </c>
      <c r="AN138" s="121" t="s">
        <v>4694</v>
      </c>
    </row>
    <row r="139" spans="11:44">
      <c r="Q139" s="99"/>
      <c r="R139" s="99"/>
      <c r="S139" s="99"/>
      <c r="T139" s="99"/>
      <c r="U139" s="99"/>
      <c r="V139" s="99"/>
      <c r="W139" s="99"/>
      <c r="X139" s="96"/>
      <c r="AH139" s="121">
        <v>119</v>
      </c>
      <c r="AI139" s="79" t="s">
        <v>4776</v>
      </c>
      <c r="AJ139" s="79">
        <v>17595278</v>
      </c>
      <c r="AK139" s="121">
        <v>1</v>
      </c>
      <c r="AL139" s="121">
        <f t="shared" si="31"/>
        <v>2</v>
      </c>
      <c r="AM139" s="79">
        <f t="shared" si="30"/>
        <v>35190556</v>
      </c>
      <c r="AN139" s="121" t="s">
        <v>4782</v>
      </c>
    </row>
    <row r="140" spans="11:44">
      <c r="Q140" s="96"/>
      <c r="R140" s="96"/>
      <c r="S140" s="96"/>
      <c r="T140" s="96"/>
      <c r="V140" s="96"/>
      <c r="X140" s="115"/>
      <c r="AH140" s="121">
        <v>120</v>
      </c>
      <c r="AI140" s="79" t="s">
        <v>4779</v>
      </c>
      <c r="AJ140" s="79">
        <v>13335309</v>
      </c>
      <c r="AK140" s="121">
        <v>1</v>
      </c>
      <c r="AL140" s="121">
        <f t="shared" si="31"/>
        <v>1</v>
      </c>
      <c r="AM140" s="79">
        <f t="shared" si="30"/>
        <v>13335309</v>
      </c>
      <c r="AN140" s="121" t="s">
        <v>4711</v>
      </c>
    </row>
    <row r="141" spans="11:44">
      <c r="Q141" s="96"/>
      <c r="R141" s="96"/>
      <c r="S141" s="96"/>
      <c r="T141" s="96"/>
      <c r="V141" s="96"/>
      <c r="AH141" s="20"/>
      <c r="AI141" s="117"/>
      <c r="AJ141" s="117"/>
      <c r="AK141" s="20"/>
      <c r="AL141" s="20">
        <f t="shared" si="31"/>
        <v>0</v>
      </c>
      <c r="AM141" s="117">
        <f t="shared" si="30"/>
        <v>0</v>
      </c>
      <c r="AN141" s="20"/>
      <c r="AP141" t="s">
        <v>25</v>
      </c>
      <c r="AR141" t="s">
        <v>25</v>
      </c>
    </row>
    <row r="142" spans="11:44">
      <c r="Q142" s="96"/>
      <c r="R142" s="96"/>
      <c r="S142" s="96"/>
      <c r="T142" s="96" t="s">
        <v>25</v>
      </c>
      <c r="V142" s="96"/>
      <c r="AH142" s="20"/>
      <c r="AI142" s="117"/>
      <c r="AJ142" s="117"/>
      <c r="AK142" s="20"/>
      <c r="AL142" s="20">
        <f t="shared" si="31"/>
        <v>0</v>
      </c>
      <c r="AM142" s="117">
        <f t="shared" si="30"/>
        <v>0</v>
      </c>
      <c r="AN142" s="20"/>
    </row>
    <row r="143" spans="11:44">
      <c r="Q143" s="96"/>
      <c r="R143" s="96"/>
      <c r="S143" s="96"/>
      <c r="T143" s="96"/>
      <c r="V143" s="96"/>
      <c r="AH143" s="20"/>
      <c r="AI143" s="117"/>
      <c r="AJ143" s="117"/>
      <c r="AK143" s="20"/>
      <c r="AL143" s="20">
        <f t="shared" si="31"/>
        <v>0</v>
      </c>
      <c r="AM143" s="117">
        <f t="shared" si="30"/>
        <v>0</v>
      </c>
      <c r="AN143" s="20"/>
    </row>
    <row r="144" spans="11:44">
      <c r="Q144" s="96"/>
      <c r="R144" s="96"/>
      <c r="S144" s="96"/>
      <c r="T144" s="99" t="s">
        <v>180</v>
      </c>
      <c r="U144" s="99" t="s">
        <v>4493</v>
      </c>
      <c r="V144" s="99" t="s">
        <v>4494</v>
      </c>
      <c r="W144" s="99" t="s">
        <v>4504</v>
      </c>
      <c r="X144" s="99" t="s">
        <v>8</v>
      </c>
      <c r="AH144" s="20"/>
      <c r="AI144" s="117"/>
      <c r="AJ144" s="117"/>
      <c r="AK144" s="20"/>
      <c r="AL144" s="20">
        <f t="shared" si="31"/>
        <v>0</v>
      </c>
      <c r="AM144" s="117">
        <f t="shared" si="30"/>
        <v>0</v>
      </c>
      <c r="AN144" s="20"/>
    </row>
    <row r="145" spans="16:44">
      <c r="Q145" s="36" t="s">
        <v>4588</v>
      </c>
      <c r="R145" s="95">
        <f>SUM(N44:N58)</f>
        <v>466526739.69999999</v>
      </c>
      <c r="T145" s="113" t="s">
        <v>4469</v>
      </c>
      <c r="U145" s="56">
        <v>1000000</v>
      </c>
      <c r="V145" s="113">
        <v>239.024</v>
      </c>
      <c r="W145" s="113">
        <f t="shared" ref="W145:W176" si="32">U145*V145</f>
        <v>239024000</v>
      </c>
      <c r="X145" s="99"/>
      <c r="AH145" s="99"/>
      <c r="AI145" s="113"/>
      <c r="AJ145" s="113"/>
      <c r="AK145" s="99"/>
      <c r="AL145" s="99">
        <f t="shared" si="31"/>
        <v>0</v>
      </c>
      <c r="AM145" s="117">
        <f t="shared" si="30"/>
        <v>0</v>
      </c>
      <c r="AN145" s="99"/>
    </row>
    <row r="146" spans="16:44">
      <c r="Q146" s="99" t="s">
        <v>4460</v>
      </c>
      <c r="R146" s="95">
        <f>SUM(N21:N25)</f>
        <v>25049993.399999999</v>
      </c>
      <c r="T146" s="168" t="s">
        <v>4451</v>
      </c>
      <c r="U146" s="56">
        <v>5904</v>
      </c>
      <c r="V146" s="113">
        <v>237.148</v>
      </c>
      <c r="W146" s="113">
        <f t="shared" si="32"/>
        <v>1400121.7919999999</v>
      </c>
      <c r="X146" s="99" t="s">
        <v>751</v>
      </c>
      <c r="AH146" s="99"/>
      <c r="AI146" s="113"/>
      <c r="AJ146" s="113"/>
      <c r="AK146" s="99"/>
      <c r="AL146" s="99">
        <f t="shared" si="31"/>
        <v>0</v>
      </c>
      <c r="AM146" s="117">
        <f t="shared" si="30"/>
        <v>0</v>
      </c>
      <c r="AN146" s="99"/>
      <c r="AR146" t="s">
        <v>25</v>
      </c>
    </row>
    <row r="147" spans="16:44">
      <c r="P147" s="114"/>
      <c r="Q147" s="99" t="s">
        <v>4461</v>
      </c>
      <c r="R147" s="95">
        <f>SUM(N28:N31)</f>
        <v>3621187.8</v>
      </c>
      <c r="T147" s="168" t="s">
        <v>4233</v>
      </c>
      <c r="U147" s="168">
        <v>1000</v>
      </c>
      <c r="V147" s="113">
        <v>247.393</v>
      </c>
      <c r="W147" s="113">
        <f t="shared" si="32"/>
        <v>247393</v>
      </c>
      <c r="X147" s="99" t="s">
        <v>751</v>
      </c>
      <c r="AH147" s="99"/>
      <c r="AI147" s="113"/>
      <c r="AJ147" s="113"/>
      <c r="AK147" s="99"/>
      <c r="AL147" s="99">
        <f t="shared" si="31"/>
        <v>0</v>
      </c>
      <c r="AM147" s="117">
        <f t="shared" si="30"/>
        <v>0</v>
      </c>
      <c r="AN147" s="99"/>
    </row>
    <row r="148" spans="16:44">
      <c r="Q148" s="99" t="s">
        <v>4462</v>
      </c>
      <c r="R148" s="95">
        <f>N42</f>
        <v>13499939</v>
      </c>
      <c r="T148" s="168" t="s">
        <v>4506</v>
      </c>
      <c r="U148" s="168">
        <v>8071</v>
      </c>
      <c r="V148" s="113">
        <v>247.797</v>
      </c>
      <c r="W148" s="113">
        <f t="shared" si="32"/>
        <v>1999969.5870000001</v>
      </c>
      <c r="X148" s="99" t="s">
        <v>4458</v>
      </c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P149" s="114"/>
      <c r="Q149" s="99" t="s">
        <v>4463</v>
      </c>
      <c r="R149" s="95">
        <f>N20</f>
        <v>144694</v>
      </c>
      <c r="T149" s="168" t="s">
        <v>4506</v>
      </c>
      <c r="U149" s="168">
        <v>53672</v>
      </c>
      <c r="V149" s="113">
        <v>247.797</v>
      </c>
      <c r="W149" s="113">
        <f t="shared" si="32"/>
        <v>13299760.584000001</v>
      </c>
      <c r="X149" s="99" t="s">
        <v>452</v>
      </c>
      <c r="AH149" s="99"/>
      <c r="AI149" s="99"/>
      <c r="AJ149" s="99" t="s">
        <v>4060</v>
      </c>
      <c r="AK149" s="99"/>
      <c r="AL149" s="99"/>
      <c r="AM149" s="99" t="s">
        <v>284</v>
      </c>
      <c r="AN149" s="99" t="s">
        <v>943</v>
      </c>
    </row>
    <row r="150" spans="16:44">
      <c r="Q150" s="99" t="s">
        <v>4464</v>
      </c>
      <c r="R150" s="95">
        <f>N27</f>
        <v>156324</v>
      </c>
      <c r="T150" s="168" t="s">
        <v>4516</v>
      </c>
      <c r="U150" s="168">
        <v>4099</v>
      </c>
      <c r="V150" s="113">
        <v>243.93</v>
      </c>
      <c r="W150" s="113">
        <f t="shared" si="32"/>
        <v>999869.07000000007</v>
      </c>
      <c r="X150" s="99" t="s">
        <v>4458</v>
      </c>
      <c r="AH150" s="99"/>
      <c r="AI150" s="99"/>
      <c r="AJ150" s="99"/>
      <c r="AK150" s="99"/>
      <c r="AL150" s="99"/>
      <c r="AM150" s="99"/>
      <c r="AN150" s="99"/>
    </row>
    <row r="151" spans="16:44">
      <c r="P151" s="114"/>
      <c r="Q151" s="99" t="s">
        <v>4476</v>
      </c>
      <c r="R151" s="95">
        <v>785285</v>
      </c>
      <c r="T151" s="168" t="s">
        <v>4516</v>
      </c>
      <c r="U151" s="168">
        <v>9301</v>
      </c>
      <c r="V151" s="113">
        <v>243.93</v>
      </c>
      <c r="W151" s="113">
        <f t="shared" si="32"/>
        <v>2268792.9300000002</v>
      </c>
      <c r="X151" s="99" t="s">
        <v>452</v>
      </c>
      <c r="AH151" s="99"/>
      <c r="AI151" s="99"/>
      <c r="AJ151" s="99"/>
      <c r="AK151" s="99"/>
      <c r="AL151" s="99"/>
      <c r="AM151" s="99" t="s">
        <v>4061</v>
      </c>
      <c r="AN151" s="99">
        <v>0.02</v>
      </c>
    </row>
    <row r="152" spans="16:44">
      <c r="Q152" s="99" t="s">
        <v>4717</v>
      </c>
      <c r="R152" s="95">
        <v>0</v>
      </c>
      <c r="T152" s="168" t="s">
        <v>4523</v>
      </c>
      <c r="U152" s="168">
        <v>8334</v>
      </c>
      <c r="V152" s="113">
        <v>239.97</v>
      </c>
      <c r="W152" s="113">
        <f t="shared" si="32"/>
        <v>1999909.98</v>
      </c>
      <c r="X152" s="99" t="s">
        <v>4458</v>
      </c>
      <c r="AH152" s="99"/>
      <c r="AI152" s="99"/>
      <c r="AJ152" s="99"/>
      <c r="AK152" s="99"/>
      <c r="AL152" s="99"/>
      <c r="AM152" s="99"/>
      <c r="AN152" s="99"/>
    </row>
    <row r="153" spans="16:44">
      <c r="Q153" s="99" t="s">
        <v>4775</v>
      </c>
      <c r="R153" s="95">
        <v>500000</v>
      </c>
      <c r="T153" s="168" t="s">
        <v>4232</v>
      </c>
      <c r="U153" s="168">
        <v>29041</v>
      </c>
      <c r="V153" s="113">
        <v>233.45</v>
      </c>
      <c r="W153" s="113">
        <f t="shared" si="32"/>
        <v>6779621.4499999993</v>
      </c>
      <c r="X153" s="99" t="s">
        <v>751</v>
      </c>
      <c r="AH153" s="99"/>
      <c r="AI153" s="99" t="s">
        <v>4062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9" t="s">
        <v>4753</v>
      </c>
      <c r="R154" s="95">
        <v>-5534</v>
      </c>
      <c r="S154" s="115"/>
      <c r="T154" s="168" t="s">
        <v>994</v>
      </c>
      <c r="U154" s="168">
        <v>12337</v>
      </c>
      <c r="V154" s="113">
        <v>243.16300000000001</v>
      </c>
      <c r="W154" s="113">
        <f t="shared" si="32"/>
        <v>2999901.9310000003</v>
      </c>
      <c r="X154" s="99" t="s">
        <v>4458</v>
      </c>
      <c r="AI154" t="s">
        <v>4065</v>
      </c>
      <c r="AJ154" s="114">
        <f>SUM(N42:N58)</f>
        <v>480026678.69999999</v>
      </c>
    </row>
    <row r="155" spans="16:44">
      <c r="Q155" s="99" t="s">
        <v>4468</v>
      </c>
      <c r="R155" s="95">
        <f>SUM(R145:R154)</f>
        <v>510278628.89999998</v>
      </c>
      <c r="S155" s="122"/>
      <c r="T155" s="168" t="s">
        <v>4614</v>
      </c>
      <c r="U155" s="168">
        <v>-16118</v>
      </c>
      <c r="V155" s="113">
        <v>248.17</v>
      </c>
      <c r="W155" s="113">
        <f t="shared" si="32"/>
        <v>-4000004.0599999996</v>
      </c>
      <c r="X155" s="99" t="s">
        <v>751</v>
      </c>
      <c r="AI155" t="s">
        <v>4137</v>
      </c>
      <c r="AJ155" s="114">
        <f>AJ154-AJ148</f>
        <v>-9299407.3000000119</v>
      </c>
      <c r="AM155" t="s">
        <v>25</v>
      </c>
    </row>
    <row r="156" spans="16:44">
      <c r="Q156" s="96"/>
      <c r="S156" s="115"/>
      <c r="T156" s="168" t="s">
        <v>4645</v>
      </c>
      <c r="U156" s="168">
        <v>101681</v>
      </c>
      <c r="V156" s="113">
        <v>246.5711</v>
      </c>
      <c r="W156" s="113">
        <f t="shared" si="32"/>
        <v>25071596.019099999</v>
      </c>
      <c r="X156" s="99" t="s">
        <v>452</v>
      </c>
      <c r="AI156" t="s">
        <v>943</v>
      </c>
      <c r="AJ156" s="114">
        <f>AN148</f>
        <v>28229716.69483871</v>
      </c>
    </row>
    <row r="157" spans="16:44">
      <c r="Q157" s="96"/>
      <c r="R157" s="183"/>
      <c r="S157" s="115"/>
      <c r="T157" s="168" t="s">
        <v>4651</v>
      </c>
      <c r="U157" s="168">
        <v>66606</v>
      </c>
      <c r="V157" s="113">
        <v>251.131</v>
      </c>
      <c r="W157" s="113">
        <f t="shared" si="32"/>
        <v>16726831.386</v>
      </c>
      <c r="X157" s="99" t="s">
        <v>751</v>
      </c>
      <c r="AI157" t="s">
        <v>4066</v>
      </c>
      <c r="AJ157" s="114">
        <f>AJ154-AJ153</f>
        <v>-37529123.994838715</v>
      </c>
      <c r="AN157" t="s">
        <v>25</v>
      </c>
    </row>
    <row r="158" spans="16:44">
      <c r="Q158" s="96"/>
      <c r="R158" s="183"/>
      <c r="T158" s="168" t="s">
        <v>4659</v>
      </c>
      <c r="U158" s="168">
        <v>172025</v>
      </c>
      <c r="V158" s="113">
        <v>245.52809999999999</v>
      </c>
      <c r="W158" s="113">
        <f t="shared" si="32"/>
        <v>42236971.402499996</v>
      </c>
      <c r="X158" s="99" t="s">
        <v>452</v>
      </c>
      <c r="AM158" t="s">
        <v>25</v>
      </c>
    </row>
    <row r="159" spans="16:44">
      <c r="Q159" s="96"/>
      <c r="R159" s="115"/>
      <c r="T159" s="168" t="s">
        <v>4659</v>
      </c>
      <c r="U159" s="168">
        <v>189227</v>
      </c>
      <c r="V159" s="113">
        <v>245.52809999999999</v>
      </c>
      <c r="W159" s="113">
        <f t="shared" si="32"/>
        <v>46460545.778700002</v>
      </c>
      <c r="X159" s="99" t="s">
        <v>751</v>
      </c>
      <c r="AJ159" t="s">
        <v>25</v>
      </c>
    </row>
    <row r="160" spans="16:44">
      <c r="T160" s="168" t="s">
        <v>4662</v>
      </c>
      <c r="U160" s="168">
        <v>79720</v>
      </c>
      <c r="V160" s="113">
        <v>246.6568</v>
      </c>
      <c r="W160" s="113">
        <f t="shared" si="32"/>
        <v>19663480.096000001</v>
      </c>
      <c r="X160" s="99" t="s">
        <v>452</v>
      </c>
    </row>
    <row r="161" spans="17:40">
      <c r="Q161" s="99" t="s">
        <v>4458</v>
      </c>
      <c r="R161" s="99"/>
      <c r="T161" s="168" t="s">
        <v>4662</v>
      </c>
      <c r="U161" s="168">
        <v>79720</v>
      </c>
      <c r="V161" s="113">
        <v>246.6568</v>
      </c>
      <c r="W161" s="113">
        <f t="shared" si="32"/>
        <v>19663480.096000001</v>
      </c>
      <c r="X161" s="99" t="s">
        <v>751</v>
      </c>
    </row>
    <row r="162" spans="17:40">
      <c r="Q162" s="36" t="s">
        <v>180</v>
      </c>
      <c r="R162" s="99" t="s">
        <v>267</v>
      </c>
      <c r="T162" s="168" t="s">
        <v>4690</v>
      </c>
      <c r="U162" s="168">
        <v>17769</v>
      </c>
      <c r="V162" s="113">
        <v>246.17877999999999</v>
      </c>
      <c r="W162" s="113">
        <f t="shared" si="32"/>
        <v>4374350.7418200001</v>
      </c>
      <c r="X162" s="99" t="s">
        <v>751</v>
      </c>
    </row>
    <row r="163" spans="17:40">
      <c r="Q163" s="99" t="s">
        <v>4451</v>
      </c>
      <c r="R163" s="95">
        <v>3000000</v>
      </c>
      <c r="T163" s="168" t="s">
        <v>4690</v>
      </c>
      <c r="U163" s="168">
        <v>17769</v>
      </c>
      <c r="V163" s="113">
        <v>246.17877999999999</v>
      </c>
      <c r="W163" s="113">
        <f t="shared" si="32"/>
        <v>4374350.7418200001</v>
      </c>
      <c r="X163" s="99" t="s">
        <v>452</v>
      </c>
    </row>
    <row r="164" spans="17:40">
      <c r="Q164" s="99" t="s">
        <v>4506</v>
      </c>
      <c r="R164" s="95">
        <v>2000000</v>
      </c>
      <c r="T164" s="168" t="s">
        <v>4696</v>
      </c>
      <c r="U164" s="168">
        <v>12438</v>
      </c>
      <c r="V164" s="113">
        <v>241.20465999999999</v>
      </c>
      <c r="W164" s="113">
        <f t="shared" si="32"/>
        <v>3000103.5610799999</v>
      </c>
      <c r="X164" s="99" t="s">
        <v>4458</v>
      </c>
      <c r="AH164" s="99" t="s">
        <v>3642</v>
      </c>
      <c r="AI164" s="99" t="s">
        <v>180</v>
      </c>
      <c r="AJ164" s="99" t="s">
        <v>267</v>
      </c>
      <c r="AK164" s="99" t="s">
        <v>4059</v>
      </c>
      <c r="AL164" s="99" t="s">
        <v>4051</v>
      </c>
      <c r="AM164" s="99" t="s">
        <v>282</v>
      </c>
      <c r="AN164" s="99" t="s">
        <v>4294</v>
      </c>
    </row>
    <row r="165" spans="17:40">
      <c r="Q165" s="99" t="s">
        <v>4516</v>
      </c>
      <c r="R165" s="95">
        <v>1000000</v>
      </c>
      <c r="T165" s="168" t="s">
        <v>4706</v>
      </c>
      <c r="U165" s="168">
        <v>27363</v>
      </c>
      <c r="V165" s="113">
        <v>239.3886</v>
      </c>
      <c r="W165" s="113">
        <f t="shared" si="32"/>
        <v>6550390.2617999995</v>
      </c>
      <c r="X165" s="99" t="s">
        <v>751</v>
      </c>
      <c r="AH165" s="99">
        <v>1</v>
      </c>
      <c r="AI165" s="99" t="s">
        <v>3950</v>
      </c>
      <c r="AJ165" s="117">
        <v>3555820</v>
      </c>
      <c r="AK165" s="99">
        <v>2</v>
      </c>
      <c r="AL165" s="99">
        <f>AK165+AL166</f>
        <v>209</v>
      </c>
      <c r="AM165" s="99">
        <f>AJ165*AL165</f>
        <v>743166380</v>
      </c>
      <c r="AN165" s="99" t="s">
        <v>4317</v>
      </c>
    </row>
    <row r="166" spans="17:40">
      <c r="Q166" s="99" t="s">
        <v>4523</v>
      </c>
      <c r="R166" s="95">
        <v>2000000</v>
      </c>
      <c r="T166" s="168" t="s">
        <v>4706</v>
      </c>
      <c r="U166" s="168">
        <v>27363</v>
      </c>
      <c r="V166" s="113">
        <v>239.3886</v>
      </c>
      <c r="W166" s="113">
        <f t="shared" si="32"/>
        <v>6550390.2617999995</v>
      </c>
      <c r="X166" s="99" t="s">
        <v>452</v>
      </c>
      <c r="AH166" s="99">
        <v>2</v>
      </c>
      <c r="AI166" s="99" t="s">
        <v>4025</v>
      </c>
      <c r="AJ166" s="117">
        <v>1720837</v>
      </c>
      <c r="AK166" s="99">
        <v>51</v>
      </c>
      <c r="AL166" s="99">
        <f t="shared" ref="AL166:AL175" si="33">AK166+AL167</f>
        <v>207</v>
      </c>
      <c r="AM166" s="99">
        <f t="shared" ref="AM166:AM194" si="34">AJ166*AL166</f>
        <v>356213259</v>
      </c>
      <c r="AN166" s="99" t="s">
        <v>4318</v>
      </c>
    </row>
    <row r="167" spans="17:40">
      <c r="Q167" s="99" t="s">
        <v>994</v>
      </c>
      <c r="R167" s="95">
        <v>3000000</v>
      </c>
      <c r="T167" s="215" t="s">
        <v>4710</v>
      </c>
      <c r="U167" s="215">
        <v>27437</v>
      </c>
      <c r="V167" s="113">
        <v>242.4015</v>
      </c>
      <c r="W167" s="113">
        <f t="shared" si="32"/>
        <v>6650769.9555000002</v>
      </c>
      <c r="X167" s="99" t="s">
        <v>751</v>
      </c>
      <c r="AH167" s="99">
        <v>3</v>
      </c>
      <c r="AI167" s="99" t="s">
        <v>4131</v>
      </c>
      <c r="AJ167" s="117">
        <v>150000</v>
      </c>
      <c r="AK167" s="99">
        <v>3</v>
      </c>
      <c r="AL167" s="99">
        <f t="shared" si="33"/>
        <v>156</v>
      </c>
      <c r="AM167" s="99">
        <f t="shared" si="34"/>
        <v>23400000</v>
      </c>
      <c r="AN167" s="99"/>
    </row>
    <row r="168" spans="17:40">
      <c r="Q168" s="99" t="s">
        <v>4696</v>
      </c>
      <c r="R168" s="95">
        <v>3000000</v>
      </c>
      <c r="T168" s="215" t="s">
        <v>4710</v>
      </c>
      <c r="U168" s="215">
        <v>29104</v>
      </c>
      <c r="V168" s="113">
        <v>242.4015</v>
      </c>
      <c r="W168" s="113">
        <f t="shared" si="32"/>
        <v>7054853.2560000001</v>
      </c>
      <c r="X168" s="99" t="s">
        <v>452</v>
      </c>
      <c r="AH168" s="99">
        <v>4</v>
      </c>
      <c r="AI168" s="99" t="s">
        <v>4146</v>
      </c>
      <c r="AJ168" s="117">
        <v>-95000</v>
      </c>
      <c r="AK168" s="99">
        <v>8</v>
      </c>
      <c r="AL168" s="99">
        <f t="shared" si="33"/>
        <v>153</v>
      </c>
      <c r="AM168" s="99">
        <f t="shared" si="34"/>
        <v>-14535000</v>
      </c>
      <c r="AN168" s="99"/>
    </row>
    <row r="169" spans="17:40">
      <c r="Q169" s="99"/>
      <c r="R169" s="95"/>
      <c r="T169" s="219" t="s">
        <v>4757</v>
      </c>
      <c r="U169" s="219">
        <v>8991</v>
      </c>
      <c r="V169" s="113">
        <v>238.64867000000001</v>
      </c>
      <c r="W169" s="113">
        <f t="shared" si="32"/>
        <v>2145690.19197</v>
      </c>
      <c r="X169" s="99" t="s">
        <v>751</v>
      </c>
      <c r="AH169" s="99">
        <v>5</v>
      </c>
      <c r="AI169" s="99" t="s">
        <v>4173</v>
      </c>
      <c r="AJ169" s="117">
        <v>3150000</v>
      </c>
      <c r="AK169" s="99">
        <v>16</v>
      </c>
      <c r="AL169" s="99">
        <f t="shared" si="33"/>
        <v>145</v>
      </c>
      <c r="AM169" s="99">
        <f t="shared" si="34"/>
        <v>456750000</v>
      </c>
      <c r="AN169" s="99"/>
    </row>
    <row r="170" spans="17:40">
      <c r="Q170" s="99"/>
      <c r="R170" s="95"/>
      <c r="T170" s="219" t="s">
        <v>4757</v>
      </c>
      <c r="U170" s="219">
        <v>8991</v>
      </c>
      <c r="V170" s="113">
        <v>238.64867000000001</v>
      </c>
      <c r="W170" s="113">
        <f t="shared" si="32"/>
        <v>2145690.19197</v>
      </c>
      <c r="X170" s="99" t="s">
        <v>452</v>
      </c>
      <c r="AH170" s="99">
        <v>6</v>
      </c>
      <c r="AI170" s="99" t="s">
        <v>4242</v>
      </c>
      <c r="AJ170" s="117">
        <v>-65000</v>
      </c>
      <c r="AK170" s="99">
        <v>1</v>
      </c>
      <c r="AL170" s="99">
        <f t="shared" si="33"/>
        <v>129</v>
      </c>
      <c r="AM170" s="99">
        <f t="shared" si="34"/>
        <v>-8385000</v>
      </c>
      <c r="AN170" s="99"/>
    </row>
    <row r="171" spans="17:40">
      <c r="Q171" s="99"/>
      <c r="R171" s="95">
        <f>SUM(R163:R168)</f>
        <v>14000000</v>
      </c>
      <c r="T171" s="219" t="s">
        <v>4774</v>
      </c>
      <c r="U171" s="219">
        <v>18170</v>
      </c>
      <c r="V171" s="113">
        <v>240.48475999999999</v>
      </c>
      <c r="W171" s="113">
        <f t="shared" si="32"/>
        <v>4369608.0892000003</v>
      </c>
      <c r="X171" s="99" t="s">
        <v>751</v>
      </c>
      <c r="AH171" s="99">
        <v>7</v>
      </c>
      <c r="AI171" s="99" t="s">
        <v>4319</v>
      </c>
      <c r="AJ171" s="117">
        <v>-95000</v>
      </c>
      <c r="AK171" s="99">
        <v>6</v>
      </c>
      <c r="AL171" s="99">
        <f t="shared" si="33"/>
        <v>128</v>
      </c>
      <c r="AM171" s="99">
        <f t="shared" si="34"/>
        <v>-12160000</v>
      </c>
      <c r="AN171" s="99"/>
    </row>
    <row r="172" spans="17:40">
      <c r="Q172" s="99"/>
      <c r="R172" s="99" t="s">
        <v>6</v>
      </c>
      <c r="S172" t="s">
        <v>25</v>
      </c>
      <c r="T172" s="219" t="s">
        <v>4774</v>
      </c>
      <c r="U172" s="219">
        <v>18170</v>
      </c>
      <c r="V172" s="113">
        <v>240.48475999999999</v>
      </c>
      <c r="W172" s="113">
        <f t="shared" si="32"/>
        <v>4369608.0892000003</v>
      </c>
      <c r="X172" s="99" t="s">
        <v>452</v>
      </c>
      <c r="AH172" s="99">
        <v>8</v>
      </c>
      <c r="AI172" s="99" t="s">
        <v>4320</v>
      </c>
      <c r="AJ172" s="117">
        <v>232000</v>
      </c>
      <c r="AK172" s="99">
        <v>7</v>
      </c>
      <c r="AL172" s="99">
        <f t="shared" si="33"/>
        <v>122</v>
      </c>
      <c r="AM172" s="99">
        <f t="shared" si="34"/>
        <v>28304000</v>
      </c>
      <c r="AN172" s="99"/>
    </row>
    <row r="173" spans="17:40">
      <c r="T173" s="219" t="s">
        <v>4779</v>
      </c>
      <c r="U173" s="219">
        <v>36797</v>
      </c>
      <c r="V173" s="113">
        <v>239.0822</v>
      </c>
      <c r="W173" s="113">
        <f t="shared" si="32"/>
        <v>8797507.7134000007</v>
      </c>
      <c r="X173" s="99" t="s">
        <v>751</v>
      </c>
      <c r="AH173" s="99">
        <v>9</v>
      </c>
      <c r="AI173" s="99" t="s">
        <v>4293</v>
      </c>
      <c r="AJ173" s="117">
        <v>13000000</v>
      </c>
      <c r="AK173" s="99">
        <v>2</v>
      </c>
      <c r="AL173" s="99">
        <f t="shared" si="33"/>
        <v>115</v>
      </c>
      <c r="AM173" s="99">
        <f t="shared" si="34"/>
        <v>1495000000</v>
      </c>
      <c r="AN173" s="99"/>
    </row>
    <row r="174" spans="17:40">
      <c r="Q174" s="96"/>
      <c r="R174" s="96"/>
      <c r="T174" s="219" t="s">
        <v>4779</v>
      </c>
      <c r="U174" s="219">
        <v>36797</v>
      </c>
      <c r="V174" s="113">
        <v>239.0822</v>
      </c>
      <c r="W174" s="113">
        <f t="shared" si="32"/>
        <v>8797507.7134000007</v>
      </c>
      <c r="X174" s="99" t="s">
        <v>452</v>
      </c>
      <c r="AH174" s="99">
        <v>10</v>
      </c>
      <c r="AI174" s="99" t="s">
        <v>4321</v>
      </c>
      <c r="AJ174" s="117">
        <v>10000000</v>
      </c>
      <c r="AK174" s="99">
        <v>3</v>
      </c>
      <c r="AL174" s="99">
        <f t="shared" si="33"/>
        <v>113</v>
      </c>
      <c r="AM174" s="99">
        <f t="shared" si="34"/>
        <v>1130000000</v>
      </c>
      <c r="AN174" s="99"/>
    </row>
    <row r="175" spans="17:40">
      <c r="Q175" s="96"/>
      <c r="R175" s="96"/>
      <c r="T175" s="219" t="s">
        <v>4799</v>
      </c>
      <c r="U175" s="219">
        <v>28066</v>
      </c>
      <c r="V175" s="113">
        <v>237.56970000000001</v>
      </c>
      <c r="W175" s="113">
        <f t="shared" si="32"/>
        <v>6667631.2002000008</v>
      </c>
      <c r="X175" s="99" t="s">
        <v>751</v>
      </c>
      <c r="Y175" t="s">
        <v>25</v>
      </c>
      <c r="AH175" s="99">
        <v>11</v>
      </c>
      <c r="AI175" s="99" t="s">
        <v>4306</v>
      </c>
      <c r="AJ175" s="117">
        <v>3400000</v>
      </c>
      <c r="AK175" s="99">
        <v>9</v>
      </c>
      <c r="AL175" s="99">
        <f t="shared" si="33"/>
        <v>110</v>
      </c>
      <c r="AM175" s="99">
        <f t="shared" si="34"/>
        <v>374000000</v>
      </c>
      <c r="AN175" s="99"/>
    </row>
    <row r="176" spans="17:40">
      <c r="T176" s="219" t="s">
        <v>4799</v>
      </c>
      <c r="U176" s="219">
        <v>28066</v>
      </c>
      <c r="V176" s="113">
        <v>237.56970000000001</v>
      </c>
      <c r="W176" s="113">
        <f t="shared" si="32"/>
        <v>6667631.2002000008</v>
      </c>
      <c r="X176" s="99" t="s">
        <v>452</v>
      </c>
      <c r="AH176" s="99">
        <v>12</v>
      </c>
      <c r="AI176" s="99" t="s">
        <v>4353</v>
      </c>
      <c r="AJ176" s="117">
        <v>-8736514</v>
      </c>
      <c r="AK176" s="99">
        <v>1</v>
      </c>
      <c r="AL176" s="99">
        <f>AK176+AL177</f>
        <v>101</v>
      </c>
      <c r="AM176" s="99">
        <f t="shared" si="34"/>
        <v>-882387914</v>
      </c>
      <c r="AN176" s="99"/>
    </row>
    <row r="177" spans="17:44">
      <c r="Q177" s="99" t="s">
        <v>751</v>
      </c>
      <c r="R177" s="99"/>
      <c r="T177" s="168"/>
      <c r="U177" s="168"/>
      <c r="V177" s="113"/>
      <c r="W177" s="113"/>
      <c r="X177" s="99"/>
      <c r="AH177" s="99">
        <v>13</v>
      </c>
      <c r="AI177" s="99" t="s">
        <v>4354</v>
      </c>
      <c r="AJ177" s="117">
        <v>555000</v>
      </c>
      <c r="AK177" s="99">
        <v>5</v>
      </c>
      <c r="AL177" s="99">
        <f t="shared" ref="AL177:AL193" si="35">AK177+AL178</f>
        <v>100</v>
      </c>
      <c r="AM177" s="99">
        <f t="shared" si="34"/>
        <v>55500000</v>
      </c>
      <c r="AN177" s="99"/>
    </row>
    <row r="178" spans="17:44">
      <c r="Q178" s="99" t="s">
        <v>4451</v>
      </c>
      <c r="R178" s="95">
        <v>172908000</v>
      </c>
      <c r="T178" s="168"/>
      <c r="U178" s="168"/>
      <c r="V178" s="113"/>
      <c r="W178" s="113"/>
      <c r="X178" s="99"/>
      <c r="AH178" s="99">
        <v>14</v>
      </c>
      <c r="AI178" s="99" t="s">
        <v>4378</v>
      </c>
      <c r="AJ178" s="117">
        <v>-448308</v>
      </c>
      <c r="AK178" s="99">
        <v>6</v>
      </c>
      <c r="AL178" s="99">
        <f t="shared" si="35"/>
        <v>95</v>
      </c>
      <c r="AM178" s="99">
        <f t="shared" si="34"/>
        <v>-42589260</v>
      </c>
      <c r="AN178" s="99"/>
    </row>
    <row r="179" spans="17:44">
      <c r="Q179" s="99" t="s">
        <v>4492</v>
      </c>
      <c r="R179" s="95">
        <v>1400000</v>
      </c>
      <c r="T179" s="168"/>
      <c r="U179" s="168">
        <f>SUM(U145:U178)</f>
        <v>2147911</v>
      </c>
      <c r="V179" s="99"/>
      <c r="W179" s="99"/>
      <c r="X179" s="99"/>
      <c r="AH179" s="99">
        <v>15</v>
      </c>
      <c r="AI179" s="99" t="s">
        <v>4410</v>
      </c>
      <c r="AJ179" s="117">
        <v>33225</v>
      </c>
      <c r="AK179" s="99">
        <v>0</v>
      </c>
      <c r="AL179" s="99">
        <f t="shared" si="35"/>
        <v>89</v>
      </c>
      <c r="AM179" s="99">
        <f t="shared" si="34"/>
        <v>2957025</v>
      </c>
      <c r="AN179" s="99"/>
    </row>
    <row r="180" spans="17:44">
      <c r="Q180" s="99" t="s">
        <v>4233</v>
      </c>
      <c r="R180" s="95">
        <v>247393</v>
      </c>
      <c r="T180" s="99"/>
      <c r="U180" s="99" t="s">
        <v>6</v>
      </c>
      <c r="V180" s="99"/>
      <c r="W180" s="99"/>
      <c r="X180" s="99"/>
      <c r="AH180" s="149">
        <v>16</v>
      </c>
      <c r="AI180" s="149" t="s">
        <v>4410</v>
      </c>
      <c r="AJ180" s="190">
        <v>4098523</v>
      </c>
      <c r="AK180" s="149">
        <v>2</v>
      </c>
      <c r="AL180" s="149">
        <f t="shared" si="35"/>
        <v>89</v>
      </c>
      <c r="AM180" s="149">
        <f t="shared" si="34"/>
        <v>364768547</v>
      </c>
      <c r="AN180" s="149" t="s">
        <v>657</v>
      </c>
      <c r="AR180" t="s">
        <v>25</v>
      </c>
    </row>
    <row r="181" spans="17:44">
      <c r="Q181" s="99" t="s">
        <v>4232</v>
      </c>
      <c r="R181" s="95">
        <v>6780000</v>
      </c>
      <c r="T181" s="202" t="s">
        <v>4495</v>
      </c>
      <c r="AH181" s="149">
        <v>17</v>
      </c>
      <c r="AI181" s="149" t="s">
        <v>4424</v>
      </c>
      <c r="AJ181" s="190">
        <v>-1000000</v>
      </c>
      <c r="AK181" s="149">
        <v>7</v>
      </c>
      <c r="AL181" s="149">
        <f t="shared" si="35"/>
        <v>87</v>
      </c>
      <c r="AM181" s="149">
        <f t="shared" si="34"/>
        <v>-87000000</v>
      </c>
      <c r="AN181" s="149" t="s">
        <v>657</v>
      </c>
    </row>
    <row r="182" spans="17:44">
      <c r="Q182" s="99" t="s">
        <v>4614</v>
      </c>
      <c r="R182" s="95">
        <v>-4000000</v>
      </c>
      <c r="T182" s="201">
        <f>R155/U179</f>
        <v>237.56972653894877</v>
      </c>
      <c r="AH182" s="149">
        <v>18</v>
      </c>
      <c r="AI182" s="149" t="s">
        <v>4447</v>
      </c>
      <c r="AJ182" s="190">
        <v>750000</v>
      </c>
      <c r="AK182" s="149">
        <v>1</v>
      </c>
      <c r="AL182" s="149">
        <f t="shared" si="35"/>
        <v>80</v>
      </c>
      <c r="AM182" s="149">
        <f t="shared" si="34"/>
        <v>60000000</v>
      </c>
      <c r="AN182" s="149" t="s">
        <v>657</v>
      </c>
    </row>
    <row r="183" spans="17:44">
      <c r="Q183" s="99" t="s">
        <v>4651</v>
      </c>
      <c r="R183" s="95">
        <v>16727037</v>
      </c>
      <c r="W183" s="114"/>
      <c r="AH183" s="197">
        <v>19</v>
      </c>
      <c r="AI183" s="197" t="s">
        <v>4449</v>
      </c>
      <c r="AJ183" s="198">
        <v>-604152</v>
      </c>
      <c r="AK183" s="197">
        <v>0</v>
      </c>
      <c r="AL183" s="197">
        <f t="shared" si="35"/>
        <v>79</v>
      </c>
      <c r="AM183" s="197">
        <f t="shared" si="34"/>
        <v>-47728008</v>
      </c>
      <c r="AN183" s="197" t="s">
        <v>657</v>
      </c>
    </row>
    <row r="184" spans="17:44">
      <c r="Q184" s="99" t="s">
        <v>4659</v>
      </c>
      <c r="R184" s="95">
        <v>46460683</v>
      </c>
      <c r="U184" s="96" t="s">
        <v>267</v>
      </c>
      <c r="V184" t="s">
        <v>4496</v>
      </c>
      <c r="AH184" s="99">
        <v>20</v>
      </c>
      <c r="AI184" s="99" t="s">
        <v>4450</v>
      </c>
      <c r="AJ184" s="117">
        <v>-587083</v>
      </c>
      <c r="AK184" s="99">
        <v>4</v>
      </c>
      <c r="AL184" s="99">
        <f t="shared" si="35"/>
        <v>79</v>
      </c>
      <c r="AM184" s="99">
        <f t="shared" si="34"/>
        <v>-46379557</v>
      </c>
      <c r="AN184" s="99"/>
    </row>
    <row r="185" spans="17:44">
      <c r="Q185" s="99" t="s">
        <v>4662</v>
      </c>
      <c r="R185" s="95">
        <v>19663646</v>
      </c>
      <c r="S185" t="s">
        <v>25</v>
      </c>
      <c r="T185" s="114"/>
      <c r="U185" s="113">
        <v>6667654</v>
      </c>
      <c r="V185">
        <f>U185/T182</f>
        <v>28066.092835725263</v>
      </c>
      <c r="X185" t="s">
        <v>25</v>
      </c>
      <c r="Y185" s="96">
        <f>W187/3</f>
        <v>4445103</v>
      </c>
      <c r="AH185" s="197">
        <v>21</v>
      </c>
      <c r="AI185" s="197" t="s">
        <v>4451</v>
      </c>
      <c r="AJ185" s="198">
        <v>-754351</v>
      </c>
      <c r="AK185" s="197">
        <v>0</v>
      </c>
      <c r="AL185" s="149">
        <f t="shared" si="35"/>
        <v>75</v>
      </c>
      <c r="AM185" s="197">
        <f t="shared" si="34"/>
        <v>-56576325</v>
      </c>
      <c r="AN185" s="197" t="s">
        <v>657</v>
      </c>
    </row>
    <row r="186" spans="17:44">
      <c r="Q186" s="99" t="s">
        <v>4690</v>
      </c>
      <c r="R186" s="95">
        <v>4374525</v>
      </c>
      <c r="X186" t="s">
        <v>25</v>
      </c>
      <c r="AH186" s="99">
        <v>22</v>
      </c>
      <c r="AI186" s="99" t="s">
        <v>4451</v>
      </c>
      <c r="AJ186" s="117">
        <v>-189619</v>
      </c>
      <c r="AK186" s="99">
        <v>15</v>
      </c>
      <c r="AL186" s="99">
        <f t="shared" si="35"/>
        <v>75</v>
      </c>
      <c r="AM186" s="99">
        <f t="shared" si="34"/>
        <v>-14221425</v>
      </c>
      <c r="AN186" s="99"/>
    </row>
    <row r="187" spans="17:44">
      <c r="Q187" s="99" t="s">
        <v>4706</v>
      </c>
      <c r="R187" s="95">
        <v>6550580</v>
      </c>
      <c r="W187" s="96">
        <v>13335309</v>
      </c>
      <c r="X187" s="96">
        <f>W187/2</f>
        <v>6667654.5</v>
      </c>
      <c r="AH187" s="197">
        <v>23</v>
      </c>
      <c r="AI187" s="197" t="s">
        <v>4527</v>
      </c>
      <c r="AJ187" s="190">
        <v>7100</v>
      </c>
      <c r="AK187" s="197">
        <v>0</v>
      </c>
      <c r="AL187" s="149">
        <f t="shared" si="35"/>
        <v>60</v>
      </c>
      <c r="AM187" s="197">
        <f t="shared" si="34"/>
        <v>426000</v>
      </c>
      <c r="AN187" s="197" t="s">
        <v>657</v>
      </c>
    </row>
    <row r="188" spans="17:44">
      <c r="Q188" s="99" t="s">
        <v>4710</v>
      </c>
      <c r="R188" s="95">
        <v>6650895</v>
      </c>
      <c r="AH188" s="20">
        <v>24</v>
      </c>
      <c r="AI188" s="20" t="s">
        <v>4527</v>
      </c>
      <c r="AJ188" s="117">
        <v>-147902</v>
      </c>
      <c r="AK188" s="20">
        <v>3</v>
      </c>
      <c r="AL188" s="99">
        <f t="shared" si="35"/>
        <v>60</v>
      </c>
      <c r="AM188" s="20">
        <f t="shared" si="34"/>
        <v>-8874120</v>
      </c>
      <c r="AN188" s="20"/>
    </row>
    <row r="189" spans="17:44">
      <c r="Q189" s="99" t="s">
        <v>4757</v>
      </c>
      <c r="R189" s="95">
        <v>2145814</v>
      </c>
      <c r="S189" t="s">
        <v>25</v>
      </c>
      <c r="AH189" s="149">
        <v>25</v>
      </c>
      <c r="AI189" s="149" t="s">
        <v>4535</v>
      </c>
      <c r="AJ189" s="190">
        <v>-37200</v>
      </c>
      <c r="AK189" s="149">
        <v>4</v>
      </c>
      <c r="AL189" s="149">
        <f t="shared" si="35"/>
        <v>57</v>
      </c>
      <c r="AM189" s="197">
        <f t="shared" si="34"/>
        <v>-2120400</v>
      </c>
      <c r="AN189" s="149" t="s">
        <v>657</v>
      </c>
    </row>
    <row r="190" spans="17:44" ht="60">
      <c r="Q190" s="99" t="s">
        <v>4774</v>
      </c>
      <c r="R190" s="95">
        <v>4369730</v>
      </c>
      <c r="T190" s="22" t="s">
        <v>4479</v>
      </c>
      <c r="AH190" s="99">
        <v>26</v>
      </c>
      <c r="AI190" s="99" t="s">
        <v>4568</v>
      </c>
      <c r="AJ190" s="117">
        <v>-372326</v>
      </c>
      <c r="AK190" s="99">
        <v>21</v>
      </c>
      <c r="AL190" s="99">
        <f t="shared" si="35"/>
        <v>53</v>
      </c>
      <c r="AM190" s="20">
        <f t="shared" si="34"/>
        <v>-19733278</v>
      </c>
      <c r="AN190" s="99"/>
    </row>
    <row r="191" spans="17:44" ht="45">
      <c r="Q191" s="99" t="s">
        <v>4779</v>
      </c>
      <c r="R191" s="95">
        <v>8739459</v>
      </c>
      <c r="T191" s="22" t="s">
        <v>4480</v>
      </c>
      <c r="Y191" t="s">
        <v>25</v>
      </c>
      <c r="AH191" s="99">
        <v>27</v>
      </c>
      <c r="AI191" s="99" t="s">
        <v>4630</v>
      </c>
      <c r="AJ191" s="117">
        <v>235062</v>
      </c>
      <c r="AK191" s="99">
        <v>0</v>
      </c>
      <c r="AL191" s="99">
        <f t="shared" si="35"/>
        <v>32</v>
      </c>
      <c r="AM191" s="20">
        <f t="shared" si="34"/>
        <v>7521984</v>
      </c>
      <c r="AN191" s="99"/>
    </row>
    <row r="192" spans="17:44">
      <c r="Q192" s="99" t="s">
        <v>4799</v>
      </c>
      <c r="R192" s="95">
        <v>6667654</v>
      </c>
      <c r="AH192" s="149">
        <v>28</v>
      </c>
      <c r="AI192" s="149" t="s">
        <v>4630</v>
      </c>
      <c r="AJ192" s="190">
        <v>235062</v>
      </c>
      <c r="AK192" s="149">
        <v>9</v>
      </c>
      <c r="AL192" s="99">
        <f t="shared" si="35"/>
        <v>32</v>
      </c>
      <c r="AM192" s="149">
        <f t="shared" si="34"/>
        <v>7521984</v>
      </c>
      <c r="AN192" s="149" t="s">
        <v>657</v>
      </c>
    </row>
    <row r="193" spans="17:44">
      <c r="Q193" s="99"/>
      <c r="R193" s="95"/>
      <c r="AH193" s="149">
        <v>29</v>
      </c>
      <c r="AI193" s="149" t="s">
        <v>4662</v>
      </c>
      <c r="AJ193" s="190">
        <v>450000</v>
      </c>
      <c r="AK193" s="149">
        <v>0</v>
      </c>
      <c r="AL193" s="99">
        <f t="shared" si="35"/>
        <v>23</v>
      </c>
      <c r="AM193" s="149">
        <f t="shared" si="34"/>
        <v>10350000</v>
      </c>
      <c r="AN193" s="149" t="s">
        <v>657</v>
      </c>
    </row>
    <row r="194" spans="17:44">
      <c r="Q194" s="99"/>
      <c r="R194" s="95"/>
      <c r="T194" s="99" t="s">
        <v>4497</v>
      </c>
      <c r="U194" s="99" t="s">
        <v>4468</v>
      </c>
      <c r="V194" s="99" t="s">
        <v>953</v>
      </c>
      <c r="AH194" s="20">
        <v>30</v>
      </c>
      <c r="AI194" s="20" t="s">
        <v>4662</v>
      </c>
      <c r="AJ194" s="117">
        <v>450000</v>
      </c>
      <c r="AK194" s="20">
        <v>22</v>
      </c>
      <c r="AL194" s="99">
        <f>AK194+AL195</f>
        <v>23</v>
      </c>
      <c r="AM194" s="20">
        <f t="shared" si="34"/>
        <v>10350000</v>
      </c>
      <c r="AN194" s="20"/>
    </row>
    <row r="195" spans="17:44">
      <c r="Q195" s="99"/>
      <c r="R195" s="95">
        <f>SUM(R178:R192)</f>
        <v>299685416</v>
      </c>
      <c r="T195" s="95">
        <f>R171+R195+R215</f>
        <v>519244315</v>
      </c>
      <c r="U195" s="95">
        <f>R155</f>
        <v>510278628.89999998</v>
      </c>
      <c r="V195" s="95">
        <f>U195-T195</f>
        <v>-8965686.1000000238</v>
      </c>
      <c r="AH195" s="149">
        <v>31</v>
      </c>
      <c r="AI195" s="149" t="s">
        <v>4779</v>
      </c>
      <c r="AJ195" s="190">
        <v>300000</v>
      </c>
      <c r="AK195" s="149">
        <v>0</v>
      </c>
      <c r="AL195" s="149">
        <f t="shared" ref="AL195:AL200" si="36">AK195+AL196</f>
        <v>1</v>
      </c>
      <c r="AM195" s="149">
        <f t="shared" ref="AM195:AM200" si="37">AJ195*AL195</f>
        <v>300000</v>
      </c>
      <c r="AN195" s="149"/>
    </row>
    <row r="196" spans="17:44" ht="30">
      <c r="Q196" s="99"/>
      <c r="R196" s="99" t="s">
        <v>6</v>
      </c>
      <c r="AH196" s="20">
        <v>32</v>
      </c>
      <c r="AI196" s="20" t="s">
        <v>4779</v>
      </c>
      <c r="AJ196" s="117">
        <v>288936</v>
      </c>
      <c r="AK196" s="20">
        <v>1</v>
      </c>
      <c r="AL196" s="99">
        <f t="shared" si="36"/>
        <v>1</v>
      </c>
      <c r="AM196" s="20">
        <f t="shared" si="37"/>
        <v>288936</v>
      </c>
      <c r="AN196" s="233" t="s">
        <v>4802</v>
      </c>
    </row>
    <row r="197" spans="17:44">
      <c r="AH197" s="20"/>
      <c r="AI197" s="20"/>
      <c r="AJ197" s="117"/>
      <c r="AK197" s="20"/>
      <c r="AL197" s="99">
        <f t="shared" si="36"/>
        <v>0</v>
      </c>
      <c r="AM197" s="20">
        <f t="shared" si="37"/>
        <v>0</v>
      </c>
      <c r="AN197" s="20"/>
      <c r="AQ197" t="s">
        <v>25</v>
      </c>
    </row>
    <row r="198" spans="17:44">
      <c r="AH198" s="20"/>
      <c r="AI198" s="20"/>
      <c r="AJ198" s="117"/>
      <c r="AK198" s="20"/>
      <c r="AL198" s="99">
        <f t="shared" si="36"/>
        <v>0</v>
      </c>
      <c r="AM198" s="20">
        <f t="shared" si="37"/>
        <v>0</v>
      </c>
      <c r="AN198" s="20"/>
    </row>
    <row r="199" spans="17:44">
      <c r="Q199" s="99" t="s">
        <v>452</v>
      </c>
      <c r="R199" s="99"/>
      <c r="AH199" s="99"/>
      <c r="AI199" s="99"/>
      <c r="AJ199" s="117"/>
      <c r="AK199" s="99"/>
      <c r="AL199" s="99">
        <f t="shared" si="36"/>
        <v>0</v>
      </c>
      <c r="AM199" s="20">
        <f t="shared" si="37"/>
        <v>0</v>
      </c>
      <c r="AN199" s="99"/>
    </row>
    <row r="200" spans="17:44">
      <c r="Q200" s="99" t="s">
        <v>4451</v>
      </c>
      <c r="R200" s="95">
        <v>63115000</v>
      </c>
      <c r="AH200" s="99"/>
      <c r="AI200" s="99"/>
      <c r="AJ200" s="117"/>
      <c r="AK200" s="99"/>
      <c r="AL200" s="99">
        <f t="shared" si="36"/>
        <v>0</v>
      </c>
      <c r="AM200" s="99">
        <f t="shared" si="37"/>
        <v>0</v>
      </c>
      <c r="AN200" s="99"/>
      <c r="AR200" t="s">
        <v>25</v>
      </c>
    </row>
    <row r="201" spans="17:44">
      <c r="Q201" s="99" t="s">
        <v>4506</v>
      </c>
      <c r="R201" s="95">
        <v>13300000</v>
      </c>
      <c r="S201" t="s">
        <v>25</v>
      </c>
      <c r="T201" t="s">
        <v>25</v>
      </c>
      <c r="AH201" s="99"/>
      <c r="AI201" s="99"/>
      <c r="AJ201" s="95">
        <f>SUM(AJ165:AJ200)</f>
        <v>29479110</v>
      </c>
      <c r="AK201" s="99"/>
      <c r="AL201" s="99"/>
      <c r="AM201" s="99">
        <f>SUM(AM165:AM200)</f>
        <v>3884127828</v>
      </c>
      <c r="AN201" s="95">
        <f>AM201*AN151/31</f>
        <v>2505888.9212903227</v>
      </c>
    </row>
    <row r="202" spans="17:44">
      <c r="Q202" s="99" t="s">
        <v>4516</v>
      </c>
      <c r="R202" s="95">
        <v>2269000</v>
      </c>
      <c r="AJ202" t="s">
        <v>4060</v>
      </c>
      <c r="AM202" t="s">
        <v>284</v>
      </c>
      <c r="AN202" t="s">
        <v>943</v>
      </c>
    </row>
    <row r="203" spans="17:44">
      <c r="Q203" s="99" t="s">
        <v>4645</v>
      </c>
      <c r="R203" s="95">
        <v>25071612</v>
      </c>
      <c r="T203" t="s">
        <v>25</v>
      </c>
    </row>
    <row r="204" spans="17:44">
      <c r="Q204" s="99" t="s">
        <v>4659</v>
      </c>
      <c r="R204" s="95">
        <v>42236984</v>
      </c>
      <c r="AI204" t="s">
        <v>4062</v>
      </c>
      <c r="AJ204" s="114">
        <f>AJ201+AN201</f>
        <v>31984998.921290323</v>
      </c>
    </row>
    <row r="205" spans="17:44">
      <c r="Q205" s="99" t="s">
        <v>4662</v>
      </c>
      <c r="R205" s="95">
        <v>19663646</v>
      </c>
      <c r="AI205" t="s">
        <v>4065</v>
      </c>
      <c r="AJ205" s="114">
        <f>SUM(N20:N31)</f>
        <v>28972199.199999999</v>
      </c>
    </row>
    <row r="206" spans="17:44">
      <c r="Q206" s="99" t="s">
        <v>4690</v>
      </c>
      <c r="R206" s="95">
        <v>4374525</v>
      </c>
      <c r="AI206" t="s">
        <v>4137</v>
      </c>
      <c r="AJ206" s="114">
        <f>AJ205-AJ201</f>
        <v>-506910.80000000075</v>
      </c>
    </row>
    <row r="207" spans="17:44">
      <c r="Q207" s="99" t="s">
        <v>4706</v>
      </c>
      <c r="R207" s="95">
        <v>6550580</v>
      </c>
      <c r="T207" t="s">
        <v>25</v>
      </c>
      <c r="AI207" t="s">
        <v>943</v>
      </c>
      <c r="AJ207" s="114">
        <f>AN201</f>
        <v>2505888.9212903227</v>
      </c>
    </row>
    <row r="208" spans="17:44">
      <c r="Q208" s="99" t="s">
        <v>4710</v>
      </c>
      <c r="R208" s="95">
        <v>7054895</v>
      </c>
      <c r="AI208" t="s">
        <v>4066</v>
      </c>
      <c r="AJ208" s="114">
        <f>AJ206-AJ207</f>
        <v>-3012799.7212903234</v>
      </c>
      <c r="AN208" t="s">
        <v>25</v>
      </c>
    </row>
    <row r="209" spans="17:40">
      <c r="Q209" s="99" t="s">
        <v>4757</v>
      </c>
      <c r="R209" s="95">
        <v>2145814</v>
      </c>
      <c r="AN209" t="s">
        <v>25</v>
      </c>
    </row>
    <row r="210" spans="17:40">
      <c r="Q210" s="99" t="s">
        <v>4774</v>
      </c>
      <c r="R210" s="95">
        <v>4369730</v>
      </c>
    </row>
    <row r="211" spans="17:40">
      <c r="Q211" s="99" t="s">
        <v>4779</v>
      </c>
      <c r="R211" s="95">
        <v>8739459</v>
      </c>
      <c r="T211" t="s">
        <v>25</v>
      </c>
    </row>
    <row r="212" spans="17:40">
      <c r="Q212" s="99" t="s">
        <v>4799</v>
      </c>
      <c r="R212" s="95">
        <v>6667654</v>
      </c>
    </row>
    <row r="213" spans="17:40">
      <c r="Q213" s="99"/>
      <c r="R213" s="95"/>
    </row>
    <row r="214" spans="17:40">
      <c r="Q214" s="99"/>
      <c r="R214" s="95"/>
    </row>
    <row r="215" spans="17:40">
      <c r="Q215" s="99"/>
      <c r="R215" s="95">
        <f>SUM(R200:R212)</f>
        <v>205558899</v>
      </c>
      <c r="T215" t="s">
        <v>25</v>
      </c>
    </row>
    <row r="216" spans="17:40">
      <c r="Q216" s="99"/>
      <c r="R216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32 S79 S85 S88:S90 S93 S99:S100 S107 S95 S112 S11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opLeftCell="F19" workbookViewId="0">
      <selection activeCell="Q40" sqref="Q4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4" t="s">
        <v>4442</v>
      </c>
      <c r="C1" s="168" t="s">
        <v>4301</v>
      </c>
      <c r="D1" s="168" t="s">
        <v>180</v>
      </c>
      <c r="J1" s="168" t="s">
        <v>3642</v>
      </c>
      <c r="K1" s="168" t="s">
        <v>180</v>
      </c>
      <c r="L1" s="168" t="s">
        <v>4494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4554</v>
      </c>
      <c r="Y1" s="168" t="s">
        <v>950</v>
      </c>
      <c r="Z1" s="168" t="s">
        <v>937</v>
      </c>
      <c r="AA1" s="168" t="s">
        <v>4554</v>
      </c>
      <c r="AB1" s="168" t="s">
        <v>950</v>
      </c>
      <c r="AC1" s="168" t="s">
        <v>937</v>
      </c>
      <c r="AD1" s="168" t="s">
        <v>4669</v>
      </c>
      <c r="AE1" s="168" t="s">
        <v>4670</v>
      </c>
    </row>
    <row r="2" spans="1:31">
      <c r="A2" s="99" t="s">
        <v>4244</v>
      </c>
      <c r="B2" s="205">
        <v>1707</v>
      </c>
      <c r="C2" s="207" t="s">
        <v>4633</v>
      </c>
      <c r="D2" s="99" t="s">
        <v>4510</v>
      </c>
      <c r="J2" s="168">
        <v>1</v>
      </c>
      <c r="K2" s="168" t="s">
        <v>4287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4544</v>
      </c>
      <c r="X2" s="168" t="s">
        <v>4297</v>
      </c>
      <c r="Y2" s="113">
        <v>281</v>
      </c>
      <c r="Z2" s="168">
        <v>15274</v>
      </c>
      <c r="AA2" s="168" t="s">
        <v>4244</v>
      </c>
      <c r="AB2" s="113">
        <v>165.5</v>
      </c>
      <c r="AC2" s="168">
        <f>Y2*Z2/AB2</f>
        <v>25933.498489425983</v>
      </c>
      <c r="AD2" s="168">
        <f t="shared" ref="AD2:AD8" si="0">Y2/AB2</f>
        <v>1.6978851963746224</v>
      </c>
      <c r="AE2" s="168">
        <f>AB2/Y2</f>
        <v>0.58896797153024916</v>
      </c>
    </row>
    <row r="3" spans="1:31">
      <c r="A3" s="99" t="s">
        <v>4605</v>
      </c>
      <c r="B3" s="205">
        <v>1184</v>
      </c>
      <c r="C3" s="207" t="s">
        <v>4611</v>
      </c>
      <c r="D3" s="99"/>
      <c r="J3" s="168">
        <v>2</v>
      </c>
      <c r="K3" s="168" t="s">
        <v>4506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4543</v>
      </c>
      <c r="X3" s="168" t="s">
        <v>4297</v>
      </c>
      <c r="Y3" s="113">
        <v>289.3</v>
      </c>
      <c r="Z3" s="168">
        <v>14073</v>
      </c>
      <c r="AA3" s="168" t="s">
        <v>4244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26" si="2">AB3/Y3</f>
        <v>0.57449014863463521</v>
      </c>
    </row>
    <row r="4" spans="1:31">
      <c r="A4" s="99" t="s">
        <v>4606</v>
      </c>
      <c r="B4" s="205">
        <v>1804</v>
      </c>
      <c r="C4" s="207" t="s">
        <v>4612</v>
      </c>
      <c r="D4" s="99"/>
      <c r="F4" t="s">
        <v>25</v>
      </c>
      <c r="J4" s="168">
        <v>3</v>
      </c>
      <c r="K4" s="168" t="s">
        <v>4232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4545</v>
      </c>
      <c r="X4" s="168" t="s">
        <v>4297</v>
      </c>
      <c r="Y4" s="113">
        <v>281</v>
      </c>
      <c r="Z4" s="168">
        <v>5000</v>
      </c>
      <c r="AA4" s="168" t="s">
        <v>4244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</row>
    <row r="5" spans="1:31">
      <c r="A5" s="99"/>
      <c r="B5" s="205"/>
      <c r="C5" s="207"/>
      <c r="D5" s="99"/>
      <c r="J5" s="230">
        <v>4</v>
      </c>
      <c r="K5" s="230" t="s">
        <v>4640</v>
      </c>
      <c r="L5" s="231">
        <v>0</v>
      </c>
      <c r="M5" s="230">
        <v>3</v>
      </c>
      <c r="N5" s="231">
        <f t="shared" ref="N5" si="3">L5*M5</f>
        <v>0</v>
      </c>
      <c r="O5" s="232" t="s">
        <v>4644</v>
      </c>
      <c r="W5" s="168" t="s">
        <v>994</v>
      </c>
      <c r="X5" s="168" t="s">
        <v>4244</v>
      </c>
      <c r="Y5" s="113">
        <v>174.7</v>
      </c>
      <c r="Z5" s="168">
        <v>13356</v>
      </c>
      <c r="AA5" s="168" t="s">
        <v>4297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</row>
    <row r="6" spans="1:31">
      <c r="A6" s="99" t="s">
        <v>1086</v>
      </c>
      <c r="B6" s="205">
        <v>4060000</v>
      </c>
      <c r="C6" s="169">
        <v>4260000</v>
      </c>
      <c r="D6" s="99" t="s">
        <v>4510</v>
      </c>
      <c r="F6" t="s">
        <v>25</v>
      </c>
      <c r="G6" s="96"/>
      <c r="H6" s="96"/>
      <c r="I6" s="96"/>
      <c r="J6" s="168">
        <v>5</v>
      </c>
      <c r="K6" s="168" t="s">
        <v>4645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4651</v>
      </c>
      <c r="X6" s="168" t="s">
        <v>1086</v>
      </c>
      <c r="Y6" s="113">
        <v>4183832</v>
      </c>
      <c r="Z6" s="168">
        <f>AB6*AC6/Y6</f>
        <v>2.132843288162622</v>
      </c>
      <c r="AA6" s="193" t="s">
        <v>4397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</row>
    <row r="7" spans="1:31">
      <c r="A7" s="99" t="s">
        <v>4579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4651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4651</v>
      </c>
      <c r="X7" s="168" t="s">
        <v>1086</v>
      </c>
      <c r="Y7" s="113">
        <v>4183832</v>
      </c>
      <c r="Z7" s="168">
        <f t="shared" ref="Z7:Z20" si="4">AB7*AC7/Y7</f>
        <v>0.23816682887840621</v>
      </c>
      <c r="AA7" s="168" t="s">
        <v>4653</v>
      </c>
      <c r="AB7" s="113">
        <v>455</v>
      </c>
      <c r="AC7" s="168">
        <v>2190</v>
      </c>
      <c r="AD7" s="168">
        <f t="shared" si="0"/>
        <v>9195.2351648351651</v>
      </c>
      <c r="AE7" s="168">
        <f t="shared" si="2"/>
        <v>1.0875197665680648E-4</v>
      </c>
    </row>
    <row r="8" spans="1:31">
      <c r="A8" s="99" t="s">
        <v>4551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4659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4651</v>
      </c>
      <c r="X8" s="168" t="s">
        <v>1086</v>
      </c>
      <c r="Y8" s="113">
        <v>4183832</v>
      </c>
      <c r="Z8" s="168">
        <f t="shared" si="4"/>
        <v>0.24118578375039915</v>
      </c>
      <c r="AA8" s="168" t="s">
        <v>4654</v>
      </c>
      <c r="AB8" s="113">
        <v>217.1</v>
      </c>
      <c r="AC8" s="168">
        <v>4648</v>
      </c>
      <c r="AD8" s="168">
        <f t="shared" si="0"/>
        <v>19271.450944265314</v>
      </c>
      <c r="AE8" s="168">
        <f t="shared" si="2"/>
        <v>5.1890228861961954E-5</v>
      </c>
    </row>
    <row r="9" spans="1:31">
      <c r="A9" s="99" t="s">
        <v>4599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4659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4183832</v>
      </c>
      <c r="Z9" s="168">
        <f t="shared" si="4"/>
        <v>3.2966189847011065</v>
      </c>
      <c r="AA9" s="214" t="s">
        <v>4550</v>
      </c>
      <c r="AB9" s="113">
        <v>4500</v>
      </c>
      <c r="AC9" s="168">
        <v>3065</v>
      </c>
      <c r="AD9" s="214">
        <f t="shared" ref="AD9:AD16" si="5">Y9/AB9</f>
        <v>929.74044444444439</v>
      </c>
      <c r="AE9" s="168">
        <f t="shared" si="2"/>
        <v>1.0755689999024818E-3</v>
      </c>
    </row>
    <row r="10" spans="1:31">
      <c r="A10" s="99" t="s">
        <v>4416</v>
      </c>
      <c r="B10" s="205">
        <v>472</v>
      </c>
      <c r="C10" s="169">
        <v>540</v>
      </c>
      <c r="D10" s="99"/>
      <c r="F10">
        <v>0</v>
      </c>
      <c r="G10" s="96"/>
      <c r="H10" s="96"/>
      <c r="I10" s="96"/>
      <c r="J10" s="168">
        <v>9</v>
      </c>
      <c r="K10" s="168" t="s">
        <v>4662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4659</v>
      </c>
      <c r="X10" s="168" t="s">
        <v>1086</v>
      </c>
      <c r="Y10" s="113">
        <v>4186993</v>
      </c>
      <c r="Z10" s="168">
        <f t="shared" si="4"/>
        <v>0.95852522323299805</v>
      </c>
      <c r="AA10" s="193" t="s">
        <v>4397</v>
      </c>
      <c r="AB10" s="113">
        <v>3322.3</v>
      </c>
      <c r="AC10" s="168">
        <v>1208</v>
      </c>
      <c r="AD10" s="193">
        <f t="shared" si="5"/>
        <v>1260.2693916864821</v>
      </c>
      <c r="AE10" s="168">
        <f t="shared" si="2"/>
        <v>7.934811450604288E-4</v>
      </c>
    </row>
    <row r="11" spans="1:31">
      <c r="A11" s="99"/>
      <c r="B11" s="205"/>
      <c r="C11" s="169"/>
      <c r="D11" s="99"/>
      <c r="F11" s="114">
        <v>0</v>
      </c>
      <c r="G11" s="96"/>
      <c r="H11" s="96"/>
      <c r="I11" s="96"/>
      <c r="J11" s="168">
        <v>10</v>
      </c>
      <c r="K11" s="168" t="s">
        <v>4662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4659</v>
      </c>
      <c r="X11" s="168" t="s">
        <v>1086</v>
      </c>
      <c r="Y11" s="113">
        <v>4186993</v>
      </c>
      <c r="Z11" s="168">
        <f t="shared" si="4"/>
        <v>3.0092622557525175</v>
      </c>
      <c r="AA11" s="222" t="s">
        <v>4401</v>
      </c>
      <c r="AB11" s="113">
        <v>5249.9</v>
      </c>
      <c r="AC11" s="168">
        <v>2400</v>
      </c>
      <c r="AD11" s="222">
        <f t="shared" si="5"/>
        <v>797.53766738414072</v>
      </c>
      <c r="AE11" s="168">
        <f t="shared" si="2"/>
        <v>1.2538592732302155E-3</v>
      </c>
    </row>
    <row r="12" spans="1:31">
      <c r="A12" s="99" t="s">
        <v>4570</v>
      </c>
      <c r="B12" s="205">
        <v>21324</v>
      </c>
      <c r="C12" s="169"/>
      <c r="D12" s="59" t="s">
        <v>4793</v>
      </c>
      <c r="F12" s="114">
        <v>0</v>
      </c>
      <c r="G12" t="s">
        <v>25</v>
      </c>
      <c r="J12" s="168">
        <v>11</v>
      </c>
      <c r="K12" s="168" t="s">
        <v>4690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4662</v>
      </c>
      <c r="X12" s="168" t="s">
        <v>1086</v>
      </c>
      <c r="Y12" s="113">
        <v>4223698</v>
      </c>
      <c r="Z12" s="168">
        <f t="shared" si="4"/>
        <v>11.463347995050782</v>
      </c>
      <c r="AA12" s="222" t="s">
        <v>4401</v>
      </c>
      <c r="AB12" s="113">
        <v>5330</v>
      </c>
      <c r="AC12" s="168">
        <v>9084</v>
      </c>
      <c r="AD12" s="222">
        <f t="shared" si="5"/>
        <v>792.43864915572237</v>
      </c>
      <c r="AE12" s="168">
        <f t="shared" si="2"/>
        <v>1.2619273442372064E-3</v>
      </c>
    </row>
    <row r="13" spans="1:31">
      <c r="A13" s="99"/>
      <c r="B13" s="205"/>
      <c r="C13" s="169"/>
      <c r="D13" s="99"/>
      <c r="F13" s="114">
        <v>0</v>
      </c>
      <c r="J13" s="168">
        <v>12</v>
      </c>
      <c r="K13" s="168" t="s">
        <v>4690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4662</v>
      </c>
      <c r="X13" s="168" t="s">
        <v>1086</v>
      </c>
      <c r="Y13" s="113">
        <v>4223698</v>
      </c>
      <c r="Z13" s="168">
        <f t="shared" si="4"/>
        <v>9.4380816762940896</v>
      </c>
      <c r="AA13" s="19" t="s">
        <v>4416</v>
      </c>
      <c r="AB13" s="113">
        <v>498.9</v>
      </c>
      <c r="AC13" s="168">
        <v>79903</v>
      </c>
      <c r="AD13" s="19">
        <f t="shared" si="5"/>
        <v>8466.0212467428355</v>
      </c>
      <c r="AE13" s="168">
        <f t="shared" si="2"/>
        <v>1.1811924053282217E-4</v>
      </c>
    </row>
    <row r="14" spans="1:31">
      <c r="A14" s="99"/>
      <c r="B14" s="205"/>
      <c r="C14" s="169"/>
      <c r="D14" s="99"/>
      <c r="F14" s="114">
        <v>0</v>
      </c>
      <c r="J14" s="168">
        <v>13</v>
      </c>
      <c r="K14" s="168" t="s">
        <v>4706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4678</v>
      </c>
      <c r="X14" s="168" t="s">
        <v>1086</v>
      </c>
      <c r="Y14" s="113">
        <v>4369699</v>
      </c>
      <c r="Z14" s="168">
        <f t="shared" si="4"/>
        <v>0.22790475957268452</v>
      </c>
      <c r="AA14" s="168" t="s">
        <v>4635</v>
      </c>
      <c r="AB14" s="113">
        <v>724.8</v>
      </c>
      <c r="AC14" s="168">
        <v>1374</v>
      </c>
      <c r="AD14" s="168">
        <f t="shared" si="5"/>
        <v>6028.8341611479036</v>
      </c>
      <c r="AE14" s="168">
        <f t="shared" si="2"/>
        <v>1.6586954845173546E-4</v>
      </c>
    </row>
    <row r="15" spans="1:31">
      <c r="A15" s="99"/>
      <c r="B15" s="205"/>
      <c r="C15" s="169"/>
      <c r="D15" s="99"/>
      <c r="F15" s="114">
        <f>B12+F7+F8+F9+F10+F11+F12+F13+F14</f>
        <v>21324</v>
      </c>
      <c r="J15" s="168">
        <v>14</v>
      </c>
      <c r="K15" s="168" t="s">
        <v>4706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4678</v>
      </c>
      <c r="X15" s="168" t="s">
        <v>1086</v>
      </c>
      <c r="Y15" s="113">
        <v>4369699</v>
      </c>
      <c r="Z15" s="168">
        <f t="shared" si="4"/>
        <v>8.608136716052984</v>
      </c>
      <c r="AA15" s="222" t="s">
        <v>4401</v>
      </c>
      <c r="AB15" s="113">
        <v>5393.6</v>
      </c>
      <c r="AC15" s="168">
        <v>6974</v>
      </c>
      <c r="AD15" s="222">
        <f t="shared" si="5"/>
        <v>810.16371254820524</v>
      </c>
      <c r="AE15" s="168">
        <f t="shared" si="2"/>
        <v>1.2343184278825613E-3</v>
      </c>
    </row>
    <row r="16" spans="1:31">
      <c r="A16" s="99"/>
      <c r="B16" s="205"/>
      <c r="C16" s="169"/>
      <c r="D16" s="99"/>
      <c r="J16" s="215">
        <v>15</v>
      </c>
      <c r="K16" s="215" t="s">
        <v>4710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4696</v>
      </c>
      <c r="X16" s="168" t="s">
        <v>1086</v>
      </c>
      <c r="Y16" s="113">
        <v>4374000</v>
      </c>
      <c r="Z16" s="168">
        <f t="shared" si="4"/>
        <v>2.0343806584362141</v>
      </c>
      <c r="AA16" s="223" t="s">
        <v>4401</v>
      </c>
      <c r="AB16" s="117">
        <v>5179.5</v>
      </c>
      <c r="AC16" s="19">
        <v>1718</v>
      </c>
      <c r="AD16" s="223">
        <f t="shared" si="5"/>
        <v>844.48305821025201</v>
      </c>
      <c r="AE16" s="168">
        <f t="shared" si="2"/>
        <v>1.184156378600823E-3</v>
      </c>
    </row>
    <row r="17" spans="1:31">
      <c r="A17" s="99"/>
      <c r="J17" s="215">
        <v>16</v>
      </c>
      <c r="K17" s="215" t="s">
        <v>4710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168" t="s">
        <v>4710</v>
      </c>
      <c r="X17" s="168" t="s">
        <v>1086</v>
      </c>
      <c r="Y17" s="113">
        <v>4367053</v>
      </c>
      <c r="Z17" s="168">
        <f t="shared" si="4"/>
        <v>2.1370469055447687</v>
      </c>
      <c r="AA17" s="193" t="s">
        <v>4397</v>
      </c>
      <c r="AB17" s="117">
        <v>3184.1</v>
      </c>
      <c r="AC17" s="19">
        <v>2931</v>
      </c>
      <c r="AD17" s="193">
        <f>Y17/AB17</f>
        <v>1371.5187965202099</v>
      </c>
      <c r="AE17" s="168">
        <f t="shared" si="2"/>
        <v>7.291186985823163E-4</v>
      </c>
    </row>
    <row r="18" spans="1:31">
      <c r="A18" s="99"/>
      <c r="B18" s="205">
        <v>3965000</v>
      </c>
      <c r="C18" s="169"/>
      <c r="D18" s="99" t="s">
        <v>4498</v>
      </c>
      <c r="J18" s="219">
        <v>17</v>
      </c>
      <c r="K18" s="219" t="s">
        <v>4757</v>
      </c>
      <c r="L18" s="169">
        <v>4291628</v>
      </c>
      <c r="M18" s="219">
        <v>0.5</v>
      </c>
      <c r="N18" s="113">
        <v>2145814</v>
      </c>
      <c r="O18" s="99" t="s">
        <v>751</v>
      </c>
      <c r="W18" s="217" t="s">
        <v>4710</v>
      </c>
      <c r="X18" s="217" t="s">
        <v>1086</v>
      </c>
      <c r="Y18" s="113">
        <v>4367053</v>
      </c>
      <c r="Z18" s="217">
        <f t="shared" si="4"/>
        <v>0.12751793944337292</v>
      </c>
      <c r="AA18" s="19" t="s">
        <v>4416</v>
      </c>
      <c r="AB18" s="117">
        <v>508.1</v>
      </c>
      <c r="AC18" s="19">
        <v>1096</v>
      </c>
      <c r="AD18" s="19">
        <f>Y18/AB18</f>
        <v>8594.8691202519185</v>
      </c>
      <c r="AE18" s="217">
        <f t="shared" si="2"/>
        <v>1.1634848489358842E-4</v>
      </c>
    </row>
    <row r="19" spans="1:31">
      <c r="A19" s="99"/>
      <c r="B19" s="205">
        <v>3880000</v>
      </c>
      <c r="C19" s="169"/>
      <c r="D19" s="99" t="s">
        <v>4505</v>
      </c>
      <c r="J19" s="219">
        <v>18</v>
      </c>
      <c r="K19" s="219" t="s">
        <v>4757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4740</v>
      </c>
      <c r="X19" s="168" t="s">
        <v>1086</v>
      </c>
      <c r="Y19" s="113">
        <v>4433930</v>
      </c>
      <c r="Z19" s="168">
        <f t="shared" si="4"/>
        <v>2.9409688470499082</v>
      </c>
      <c r="AA19" s="199" t="s">
        <v>4397</v>
      </c>
      <c r="AB19" s="117">
        <v>3180.5</v>
      </c>
      <c r="AC19" s="19">
        <v>4100</v>
      </c>
      <c r="AD19" s="199">
        <f t="shared" ref="AD19:AD20" si="6">Y19/AB19</f>
        <v>1394.0984121993397</v>
      </c>
      <c r="AE19" s="168">
        <f t="shared" si="2"/>
        <v>7.1730947489022151E-4</v>
      </c>
    </row>
    <row r="20" spans="1:31">
      <c r="A20" s="99" t="s">
        <v>4511</v>
      </c>
      <c r="B20" s="206"/>
      <c r="C20" s="169">
        <v>3894000</v>
      </c>
      <c r="D20" s="99" t="s">
        <v>4506</v>
      </c>
      <c r="J20" s="219">
        <v>19</v>
      </c>
      <c r="K20" s="219" t="s">
        <v>4774</v>
      </c>
      <c r="L20" s="169">
        <v>4369730</v>
      </c>
      <c r="M20" s="219">
        <v>1</v>
      </c>
      <c r="N20" s="113">
        <f>L20*M20</f>
        <v>4369730</v>
      </c>
      <c r="O20" s="99" t="s">
        <v>751</v>
      </c>
      <c r="W20" s="168" t="s">
        <v>4740</v>
      </c>
      <c r="X20" s="168" t="s">
        <v>1086</v>
      </c>
      <c r="Y20" s="113">
        <v>4433930</v>
      </c>
      <c r="Z20" s="168">
        <f t="shared" si="4"/>
        <v>0.13984559972755545</v>
      </c>
      <c r="AA20" s="213" t="s">
        <v>4416</v>
      </c>
      <c r="AB20" s="117">
        <v>503.3</v>
      </c>
      <c r="AC20" s="19">
        <v>1232</v>
      </c>
      <c r="AD20" s="213">
        <f t="shared" si="6"/>
        <v>8809.7158752235246</v>
      </c>
      <c r="AE20" s="168">
        <f t="shared" si="2"/>
        <v>1.1351103873989892E-4</v>
      </c>
    </row>
    <row r="21" spans="1:31">
      <c r="A21" s="99"/>
      <c r="B21" s="205"/>
      <c r="C21" s="169">
        <v>3845000</v>
      </c>
      <c r="D21" s="99" t="s">
        <v>4506</v>
      </c>
      <c r="J21" s="219">
        <v>20</v>
      </c>
      <c r="K21" s="219" t="s">
        <v>4774</v>
      </c>
      <c r="L21" s="169">
        <v>4369730</v>
      </c>
      <c r="M21" s="219">
        <v>1</v>
      </c>
      <c r="N21" s="113">
        <f>L21*M21</f>
        <v>4369730</v>
      </c>
      <c r="O21" s="99" t="s">
        <v>452</v>
      </c>
      <c r="R21" t="s">
        <v>25</v>
      </c>
      <c r="W21" s="168" t="s">
        <v>4750</v>
      </c>
      <c r="X21" s="168" t="s">
        <v>1086</v>
      </c>
      <c r="Y21" s="113">
        <v>4183832</v>
      </c>
      <c r="Z21" s="219">
        <v>0.24415416297786335</v>
      </c>
      <c r="AA21" s="19" t="s">
        <v>4416</v>
      </c>
      <c r="AB21" s="117">
        <v>501.2</v>
      </c>
      <c r="AC21" s="19">
        <f>Y21*Z21/AB21</f>
        <v>2038.1085395051875</v>
      </c>
      <c r="AD21" s="19">
        <f t="shared" ref="AD21:AD26" si="7">Y21/AB21</f>
        <v>8347.6296887470071</v>
      </c>
      <c r="AE21" s="168">
        <f t="shared" si="2"/>
        <v>1.1979448505580529E-4</v>
      </c>
    </row>
    <row r="22" spans="1:31">
      <c r="A22" s="99"/>
      <c r="B22" s="205"/>
      <c r="C22" s="169">
        <v>3845000</v>
      </c>
      <c r="D22" s="99" t="s">
        <v>4506</v>
      </c>
      <c r="J22" s="168">
        <v>21</v>
      </c>
      <c r="K22" s="168" t="s">
        <v>4776</v>
      </c>
      <c r="L22" s="113">
        <v>4398820</v>
      </c>
      <c r="M22" s="168">
        <v>2</v>
      </c>
      <c r="N22" s="113">
        <f>L22*M22</f>
        <v>8797640</v>
      </c>
      <c r="O22" s="99" t="s">
        <v>751</v>
      </c>
      <c r="W22" s="219" t="s">
        <v>4757</v>
      </c>
      <c r="X22" s="219" t="s">
        <v>1086</v>
      </c>
      <c r="Y22" s="113">
        <v>4183832</v>
      </c>
      <c r="Z22" s="219">
        <v>0.23385260211213069</v>
      </c>
      <c r="AA22" s="19" t="s">
        <v>4416</v>
      </c>
      <c r="AB22" s="117">
        <v>481.7</v>
      </c>
      <c r="AC22" s="19">
        <f>Y22*Z22/AB22</f>
        <v>2031.1397135146358</v>
      </c>
      <c r="AD22" s="19">
        <f t="shared" si="7"/>
        <v>8685.555324891011</v>
      </c>
      <c r="AE22" s="219">
        <f t="shared" si="2"/>
        <v>1.1513368605622787E-4</v>
      </c>
    </row>
    <row r="23" spans="1:31">
      <c r="A23" s="99"/>
      <c r="B23" s="205"/>
      <c r="C23" s="169">
        <v>3845000</v>
      </c>
      <c r="D23" s="99" t="s">
        <v>4506</v>
      </c>
      <c r="J23" s="219">
        <v>22</v>
      </c>
      <c r="K23" s="219" t="s">
        <v>4776</v>
      </c>
      <c r="L23" s="113">
        <v>4398820</v>
      </c>
      <c r="M23" s="219">
        <v>2</v>
      </c>
      <c r="N23" s="113">
        <f>L23*M23</f>
        <v>8797640</v>
      </c>
      <c r="O23" s="99" t="s">
        <v>452</v>
      </c>
      <c r="Q23" t="s">
        <v>25</v>
      </c>
      <c r="R23" t="s">
        <v>25</v>
      </c>
      <c r="W23" s="219" t="s">
        <v>4760</v>
      </c>
      <c r="X23" s="219" t="s">
        <v>1086</v>
      </c>
      <c r="Y23" s="113">
        <v>4291628</v>
      </c>
      <c r="Z23" s="219">
        <f>AB23*AC23/Y23</f>
        <v>0.94748414820669458</v>
      </c>
      <c r="AA23" s="199" t="s">
        <v>4397</v>
      </c>
      <c r="AB23" s="117">
        <v>3115.9</v>
      </c>
      <c r="AC23" s="19">
        <v>1305</v>
      </c>
      <c r="AD23" s="199">
        <f t="shared" si="7"/>
        <v>1377.3317500561634</v>
      </c>
      <c r="AE23" s="219">
        <f t="shared" si="2"/>
        <v>7.2604149287869312E-4</v>
      </c>
    </row>
    <row r="24" spans="1:31">
      <c r="A24" s="99" t="s">
        <v>4513</v>
      </c>
      <c r="B24" s="205">
        <v>4020000</v>
      </c>
      <c r="C24" s="169">
        <v>30000</v>
      </c>
      <c r="D24" s="99" t="s">
        <v>4510</v>
      </c>
      <c r="J24" s="230">
        <v>23</v>
      </c>
      <c r="K24" s="230" t="s">
        <v>4776</v>
      </c>
      <c r="L24" s="231">
        <v>4388600</v>
      </c>
      <c r="M24" s="230">
        <v>5</v>
      </c>
      <c r="N24" s="231">
        <f>L24*M24</f>
        <v>21943000</v>
      </c>
      <c r="O24" s="232" t="s">
        <v>4801</v>
      </c>
      <c r="W24" s="168" t="s">
        <v>4760</v>
      </c>
      <c r="X24" s="168" t="s">
        <v>1086</v>
      </c>
      <c r="Y24" s="113">
        <v>4291628</v>
      </c>
      <c r="Z24" s="219">
        <f>AB24*AC24/Y24</f>
        <v>4.7641314671262279E-2</v>
      </c>
      <c r="AA24" s="19" t="s">
        <v>4606</v>
      </c>
      <c r="AB24" s="117">
        <v>178.1</v>
      </c>
      <c r="AC24" s="19">
        <v>1148</v>
      </c>
      <c r="AD24" s="19">
        <f t="shared" si="7"/>
        <v>24096.732172936554</v>
      </c>
      <c r="AE24" s="168">
        <f t="shared" si="2"/>
        <v>4.1499403023747632E-5</v>
      </c>
    </row>
    <row r="25" spans="1:31">
      <c r="A25" s="99"/>
      <c r="B25" s="205">
        <v>3915000</v>
      </c>
      <c r="C25" s="169"/>
      <c r="D25" s="99" t="s">
        <v>4512</v>
      </c>
      <c r="J25" s="219">
        <v>24</v>
      </c>
      <c r="K25" s="219" t="s">
        <v>4779</v>
      </c>
      <c r="L25" s="113">
        <v>4445103</v>
      </c>
      <c r="M25" s="219">
        <v>1.5</v>
      </c>
      <c r="N25" s="113">
        <f>L25*M25</f>
        <v>6667654.5</v>
      </c>
      <c r="O25" s="99" t="s">
        <v>751</v>
      </c>
      <c r="W25" s="219" t="s">
        <v>4776</v>
      </c>
      <c r="X25" s="219" t="s">
        <v>1086</v>
      </c>
      <c r="Y25" s="113">
        <v>4369730</v>
      </c>
      <c r="Z25" s="219">
        <f>AB25*AC25/Y25</f>
        <v>1.9131203758584627</v>
      </c>
      <c r="AA25" s="199" t="s">
        <v>4397</v>
      </c>
      <c r="AB25" s="117">
        <v>3120.5</v>
      </c>
      <c r="AC25" s="19">
        <v>2679</v>
      </c>
      <c r="AD25" s="199">
        <f t="shared" si="7"/>
        <v>1400.3300753084441</v>
      </c>
      <c r="AE25" s="219">
        <f t="shared" si="2"/>
        <v>7.1411734821144558E-4</v>
      </c>
    </row>
    <row r="26" spans="1:31">
      <c r="A26" s="99"/>
      <c r="B26" s="205">
        <v>3821000</v>
      </c>
      <c r="C26" s="169"/>
      <c r="D26" s="99" t="s">
        <v>4516</v>
      </c>
      <c r="J26" s="219">
        <v>25</v>
      </c>
      <c r="K26" s="219" t="s">
        <v>4779</v>
      </c>
      <c r="L26" s="113">
        <v>4445103</v>
      </c>
      <c r="M26" s="219">
        <v>1.5</v>
      </c>
      <c r="N26" s="113">
        <f>L26*M26</f>
        <v>6667654.5</v>
      </c>
      <c r="O26" s="99" t="s">
        <v>452</v>
      </c>
      <c r="W26" s="219" t="s">
        <v>4779</v>
      </c>
      <c r="X26" s="219" t="s">
        <v>1086</v>
      </c>
      <c r="Y26" s="113">
        <v>4398820</v>
      </c>
      <c r="Z26" s="219">
        <f>AB26*AC26/Y26</f>
        <v>3.9898935623644527</v>
      </c>
      <c r="AA26" s="194" t="s">
        <v>4397</v>
      </c>
      <c r="AB26" s="117">
        <v>3112.4</v>
      </c>
      <c r="AC26" s="19">
        <v>5639</v>
      </c>
      <c r="AD26" s="194">
        <f t="shared" si="7"/>
        <v>1413.3209099087521</v>
      </c>
      <c r="AE26" s="219">
        <f t="shared" si="2"/>
        <v>7.0755338931804436E-4</v>
      </c>
    </row>
    <row r="27" spans="1:31">
      <c r="A27" s="99"/>
      <c r="B27" s="205"/>
      <c r="C27" s="169"/>
      <c r="D27" s="99" t="s">
        <v>4524</v>
      </c>
      <c r="J27" s="219"/>
      <c r="K27" s="219"/>
      <c r="L27" s="113"/>
      <c r="M27" s="219"/>
      <c r="N27" s="113"/>
      <c r="O27" s="99"/>
      <c r="R27" t="s">
        <v>25</v>
      </c>
      <c r="S27" t="s">
        <v>25</v>
      </c>
      <c r="W27" s="219" t="s">
        <v>4799</v>
      </c>
      <c r="X27" s="219" t="s">
        <v>1086</v>
      </c>
      <c r="Y27" s="113">
        <v>4445103</v>
      </c>
      <c r="Z27" s="219"/>
      <c r="AA27" s="19"/>
      <c r="AB27" s="117"/>
      <c r="AC27" s="19"/>
      <c r="AD27" s="19"/>
      <c r="AE27" s="219"/>
    </row>
    <row r="28" spans="1:31">
      <c r="A28" s="99" t="s">
        <v>4546</v>
      </c>
      <c r="B28" s="205"/>
      <c r="C28" s="169">
        <v>3421299</v>
      </c>
      <c r="D28" s="99" t="s">
        <v>4232</v>
      </c>
      <c r="J28" s="219"/>
      <c r="K28" s="219"/>
      <c r="L28" s="113"/>
      <c r="M28" s="219"/>
      <c r="N28" s="113"/>
      <c r="O28" s="99"/>
      <c r="W28" s="219"/>
      <c r="X28" s="219"/>
      <c r="Y28" s="113"/>
      <c r="Z28" s="219"/>
      <c r="AA28" s="19"/>
      <c r="AB28" s="117"/>
      <c r="AC28" s="19"/>
      <c r="AD28" s="19"/>
      <c r="AE28" s="219"/>
    </row>
    <row r="29" spans="1:31">
      <c r="A29" s="99" t="s">
        <v>4575</v>
      </c>
      <c r="B29" s="205"/>
      <c r="C29" s="169">
        <v>3490000</v>
      </c>
      <c r="D29" s="99" t="s">
        <v>4232</v>
      </c>
      <c r="J29" s="219"/>
      <c r="K29" s="219"/>
      <c r="L29" s="113"/>
      <c r="M29" s="219"/>
      <c r="N29" s="113"/>
      <c r="O29" s="99"/>
      <c r="W29" s="219"/>
      <c r="X29" s="219"/>
      <c r="Y29" s="113"/>
      <c r="Z29" s="219"/>
      <c r="AA29" s="19"/>
      <c r="AB29" s="117"/>
      <c r="AC29" s="19"/>
      <c r="AD29" s="19"/>
      <c r="AE29" s="219"/>
    </row>
    <row r="30" spans="1:31">
      <c r="A30" s="99" t="s">
        <v>4576</v>
      </c>
      <c r="B30" s="205"/>
      <c r="C30" s="169">
        <v>271000</v>
      </c>
      <c r="D30" s="99" t="s">
        <v>4572</v>
      </c>
      <c r="J30" s="168"/>
      <c r="K30" s="168"/>
      <c r="L30" s="113" t="s">
        <v>25</v>
      </c>
      <c r="M30" s="168"/>
      <c r="N30" s="113"/>
      <c r="O30" s="99"/>
      <c r="W30" s="168"/>
      <c r="X30" s="168"/>
      <c r="Y30" s="113"/>
      <c r="Z30" s="168"/>
      <c r="AA30" s="168"/>
      <c r="AB30" s="113"/>
      <c r="AC30" s="168"/>
      <c r="AD30" s="19"/>
      <c r="AE30" s="168"/>
    </row>
    <row r="31" spans="1:31">
      <c r="A31" s="99" t="s">
        <v>4584</v>
      </c>
      <c r="B31" s="205"/>
      <c r="C31" s="169">
        <v>69700</v>
      </c>
      <c r="D31" s="99" t="s">
        <v>4577</v>
      </c>
      <c r="J31" s="168"/>
      <c r="K31" s="168"/>
      <c r="L31" s="168"/>
      <c r="M31" s="168">
        <f>SUM(M2:M30)</f>
        <v>82</v>
      </c>
      <c r="N31" s="113">
        <f>SUM(N2:N30)</f>
        <v>335740285</v>
      </c>
      <c r="O31" s="169">
        <f>N31/(M31-3)</f>
        <v>4249877.0253164554</v>
      </c>
      <c r="P31">
        <f>O34/2</f>
        <v>8797639</v>
      </c>
      <c r="Q31">
        <f>O34/4</f>
        <v>4398819.5</v>
      </c>
      <c r="AC31" t="s">
        <v>25</v>
      </c>
    </row>
    <row r="32" spans="1:31">
      <c r="A32" s="99"/>
      <c r="B32" s="205"/>
      <c r="C32" s="169"/>
      <c r="D32" s="99"/>
      <c r="J32" s="168"/>
      <c r="K32" s="168"/>
      <c r="L32" s="168"/>
      <c r="M32" s="168" t="s">
        <v>6</v>
      </c>
      <c r="N32" s="168"/>
      <c r="O32" s="99"/>
      <c r="Z32" t="s">
        <v>25</v>
      </c>
      <c r="AA32" t="s">
        <v>25</v>
      </c>
    </row>
    <row r="33" spans="1:30">
      <c r="A33" s="99"/>
      <c r="B33" s="205"/>
      <c r="C33" s="169"/>
      <c r="D33" s="99"/>
      <c r="M33" s="113">
        <f>N31/(M31-3)</f>
        <v>4249877.0253164554</v>
      </c>
      <c r="W33" s="96"/>
      <c r="X33" s="96"/>
      <c r="Y33" s="96"/>
      <c r="Z33" s="96"/>
      <c r="AA33" s="96"/>
      <c r="AB33" s="96"/>
      <c r="AC33" s="96"/>
      <c r="AD33" s="96"/>
    </row>
    <row r="34" spans="1:30">
      <c r="A34" s="99"/>
      <c r="B34" s="205"/>
      <c r="C34" s="169"/>
      <c r="D34" s="99"/>
      <c r="I34" t="s">
        <v>25</v>
      </c>
      <c r="M34" s="41" t="s">
        <v>4536</v>
      </c>
      <c r="N34" t="s">
        <v>25</v>
      </c>
      <c r="O34">
        <v>17595278</v>
      </c>
      <c r="W34" s="169"/>
      <c r="X34" s="217"/>
      <c r="Y34" s="217"/>
      <c r="Z34" s="217"/>
      <c r="AA34" s="217"/>
      <c r="AB34" s="99"/>
      <c r="AC34" s="32"/>
      <c r="AD34" s="32"/>
    </row>
    <row r="35" spans="1:30">
      <c r="A35" s="99"/>
      <c r="B35" s="169"/>
      <c r="C35" s="169"/>
      <c r="D35" s="99"/>
      <c r="W35" s="169"/>
      <c r="X35" s="217"/>
      <c r="Y35" s="217"/>
      <c r="Z35" s="217"/>
      <c r="AA35" s="217"/>
      <c r="AB35" s="99"/>
      <c r="AC35" s="32"/>
      <c r="AD35" s="32"/>
    </row>
    <row r="36" spans="1:30">
      <c r="B36" s="58"/>
      <c r="C36" s="58"/>
      <c r="D36" s="115"/>
      <c r="AA36" s="96"/>
      <c r="AB36" s="96"/>
      <c r="AC36" s="96"/>
      <c r="AD36" s="96"/>
    </row>
    <row r="37" spans="1:30">
      <c r="B37" t="s">
        <v>25</v>
      </c>
      <c r="L37">
        <f>140-M31</f>
        <v>58</v>
      </c>
      <c r="M37">
        <f>70-M2-M4-M5-M7-M9-M10-M12-M14-M16-M18-M20-M22-M25</f>
        <v>26.5</v>
      </c>
      <c r="N37" t="s">
        <v>483</v>
      </c>
      <c r="O37" t="s">
        <v>4800</v>
      </c>
      <c r="Z37" t="s">
        <v>25</v>
      </c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M38">
        <f>65-M3-M6-M8-M11-M13-M15-M17-M19-M21-M23-M26</f>
        <v>31.5</v>
      </c>
      <c r="N38" t="s">
        <v>5</v>
      </c>
      <c r="AA38" s="96"/>
      <c r="AB38" s="96"/>
      <c r="AC38" s="96"/>
      <c r="AD38" s="96"/>
    </row>
    <row r="39" spans="1:30">
      <c r="AA39" s="96"/>
      <c r="AB39" s="96"/>
      <c r="AC39" s="96"/>
      <c r="AD39" s="96"/>
    </row>
    <row r="40" spans="1:30">
      <c r="AA40" s="96"/>
      <c r="AB40" s="96"/>
      <c r="AC40" s="96"/>
      <c r="AD40" s="96"/>
    </row>
    <row r="41" spans="1:30">
      <c r="AA41" s="96"/>
      <c r="AB41" s="96"/>
      <c r="AC41" s="96"/>
      <c r="AD41" s="96"/>
    </row>
    <row r="42" spans="1:30">
      <c r="A42" s="99" t="s">
        <v>180</v>
      </c>
      <c r="B42" s="99" t="s">
        <v>4767</v>
      </c>
      <c r="C42" s="99" t="s">
        <v>4768</v>
      </c>
      <c r="D42" s="99" t="s">
        <v>4769</v>
      </c>
      <c r="E42" s="69" t="s">
        <v>4770</v>
      </c>
      <c r="K42" s="168" t="s">
        <v>4547</v>
      </c>
      <c r="L42" s="168" t="s">
        <v>1086</v>
      </c>
      <c r="M42" s="168" t="s">
        <v>4244</v>
      </c>
      <c r="N42" s="168" t="s">
        <v>4564</v>
      </c>
      <c r="O42" s="168"/>
      <c r="AA42" s="96"/>
      <c r="AB42" s="96"/>
      <c r="AC42" s="96"/>
      <c r="AD42" s="96"/>
    </row>
    <row r="43" spans="1:30">
      <c r="A43" s="99" t="s">
        <v>4696</v>
      </c>
      <c r="B43" s="95">
        <v>4080000</v>
      </c>
      <c r="C43" s="95">
        <v>4200000</v>
      </c>
      <c r="D43" s="95"/>
      <c r="E43" s="95"/>
      <c r="K43" s="168" t="s">
        <v>4535</v>
      </c>
      <c r="L43" s="168">
        <v>3390000</v>
      </c>
      <c r="M43" s="168">
        <v>161.4</v>
      </c>
      <c r="N43" s="168">
        <f>L43/M43</f>
        <v>21003.717472118959</v>
      </c>
      <c r="O43" s="168"/>
      <c r="W43" s="96"/>
      <c r="X43" s="96"/>
      <c r="Y43" s="96"/>
      <c r="Z43" s="96"/>
      <c r="AA43" s="96"/>
      <c r="AB43" s="96"/>
      <c r="AC43" s="96"/>
      <c r="AD43" s="96"/>
    </row>
    <row r="44" spans="1:30">
      <c r="A44" s="99" t="s">
        <v>4706</v>
      </c>
      <c r="B44" s="95">
        <v>4100000</v>
      </c>
      <c r="C44" s="95">
        <v>4230000</v>
      </c>
      <c r="D44" s="95"/>
      <c r="E44" s="95"/>
      <c r="I44" s="41"/>
      <c r="K44" s="168"/>
      <c r="L44" s="168"/>
      <c r="M44" s="168"/>
      <c r="N44" s="168"/>
      <c r="O44" s="168"/>
      <c r="W44" s="96"/>
      <c r="X44" s="96"/>
      <c r="Y44" s="96"/>
      <c r="Z44" s="96" t="s">
        <v>4683</v>
      </c>
      <c r="AA44" s="96"/>
      <c r="AB44" s="96"/>
      <c r="AC44" s="96"/>
      <c r="AD44" s="96"/>
    </row>
    <row r="45" spans="1:30">
      <c r="A45" s="99" t="s">
        <v>4710</v>
      </c>
      <c r="B45" s="95">
        <v>4230000</v>
      </c>
      <c r="C45" s="95">
        <v>4330000</v>
      </c>
      <c r="D45" s="95">
        <v>12200</v>
      </c>
      <c r="E45" s="95">
        <v>12350</v>
      </c>
      <c r="K45" s="168"/>
      <c r="L45" s="168"/>
      <c r="M45" s="168"/>
      <c r="N45" s="168"/>
      <c r="O45" s="168"/>
      <c r="W45" s="96"/>
      <c r="X45" s="96"/>
      <c r="Y45" s="96"/>
      <c r="Z45" s="96" t="s">
        <v>4684</v>
      </c>
      <c r="AA45" s="212">
        <v>35441</v>
      </c>
      <c r="AB45" s="96"/>
      <c r="AC45" s="96"/>
      <c r="AD45" s="96"/>
    </row>
    <row r="46" spans="1:30" ht="120">
      <c r="A46" s="99" t="s">
        <v>4740</v>
      </c>
      <c r="B46" s="95">
        <v>4270000</v>
      </c>
      <c r="C46" s="95">
        <v>4370000</v>
      </c>
      <c r="D46" s="95"/>
      <c r="E46" s="95"/>
      <c r="K46" s="168"/>
      <c r="L46" s="168"/>
      <c r="M46" s="168"/>
      <c r="N46" s="168"/>
      <c r="O46" s="168"/>
      <c r="W46" s="96"/>
      <c r="X46" s="22" t="s">
        <v>4687</v>
      </c>
      <c r="Y46" s="22" t="s">
        <v>4686</v>
      </c>
      <c r="Z46" s="22" t="s">
        <v>4685</v>
      </c>
      <c r="AA46" s="22" t="s">
        <v>4689</v>
      </c>
    </row>
    <row r="47" spans="1:30">
      <c r="A47" s="99" t="s">
        <v>4757</v>
      </c>
      <c r="B47" s="95">
        <v>3980000</v>
      </c>
      <c r="C47" s="95">
        <v>4120000</v>
      </c>
      <c r="D47" s="95">
        <v>11450</v>
      </c>
      <c r="E47" s="95">
        <v>11650</v>
      </c>
      <c r="K47" s="168"/>
      <c r="L47" s="168"/>
      <c r="M47" s="168"/>
      <c r="N47" s="168"/>
      <c r="O47" s="168"/>
    </row>
    <row r="48" spans="1:30">
      <c r="A48" s="99" t="s">
        <v>4760</v>
      </c>
      <c r="B48" s="95">
        <v>4120000</v>
      </c>
      <c r="C48" s="95">
        <v>4230000</v>
      </c>
      <c r="D48" s="95">
        <v>11650</v>
      </c>
      <c r="E48" s="95">
        <v>11750</v>
      </c>
      <c r="G48" s="114">
        <f>B52-B47+L19</f>
        <v>4531628</v>
      </c>
      <c r="K48" s="168"/>
      <c r="L48" s="168"/>
      <c r="M48" s="168"/>
      <c r="N48" s="168"/>
      <c r="O48" s="168"/>
    </row>
    <row r="49" spans="1:15">
      <c r="A49" s="99" t="s">
        <v>4764</v>
      </c>
      <c r="B49" s="95">
        <v>4170000</v>
      </c>
      <c r="C49" s="95">
        <v>4280000</v>
      </c>
      <c r="D49" s="95">
        <v>11750</v>
      </c>
      <c r="E49" s="95">
        <v>11900</v>
      </c>
      <c r="K49" s="168"/>
      <c r="L49" s="168"/>
      <c r="M49" s="168"/>
      <c r="N49" s="168"/>
      <c r="O49" s="168"/>
    </row>
    <row r="50" spans="1:15">
      <c r="A50" s="99" t="s">
        <v>4771</v>
      </c>
      <c r="B50" s="95">
        <v>4130000</v>
      </c>
      <c r="C50" s="95">
        <v>4260000</v>
      </c>
      <c r="D50" s="95">
        <v>11850</v>
      </c>
      <c r="E50" s="95">
        <v>11950</v>
      </c>
      <c r="K50" s="168"/>
      <c r="L50" s="168"/>
      <c r="M50" s="168"/>
      <c r="N50" s="168"/>
      <c r="O50" s="168"/>
    </row>
    <row r="51" spans="1:15">
      <c r="A51" s="99" t="s">
        <v>4774</v>
      </c>
      <c r="B51" s="95">
        <v>4100000</v>
      </c>
      <c r="C51" s="95">
        <v>4220000</v>
      </c>
      <c r="D51" s="95">
        <v>11800</v>
      </c>
      <c r="E51" s="95">
        <v>11980</v>
      </c>
    </row>
    <row r="52" spans="1:15">
      <c r="A52" s="99" t="s">
        <v>4776</v>
      </c>
      <c r="B52" s="95">
        <v>4220000</v>
      </c>
      <c r="C52" s="95">
        <v>4320000</v>
      </c>
      <c r="D52" s="95">
        <v>11900</v>
      </c>
      <c r="E52" s="95">
        <v>12050</v>
      </c>
    </row>
    <row r="53" spans="1:15">
      <c r="A53" s="99" t="s">
        <v>4779</v>
      </c>
      <c r="B53" s="95">
        <v>4240000</v>
      </c>
      <c r="C53" s="95">
        <v>4340000</v>
      </c>
      <c r="D53" s="95">
        <v>12100</v>
      </c>
      <c r="E53" s="95">
        <v>12250</v>
      </c>
    </row>
    <row r="54" spans="1:15">
      <c r="A54" s="99"/>
      <c r="B54" s="95"/>
      <c r="C54" s="95"/>
      <c r="D54" s="95"/>
      <c r="E54" s="95"/>
    </row>
    <row r="55" spans="1:15">
      <c r="A55" s="99"/>
      <c r="B55" s="95"/>
      <c r="C55" s="95"/>
      <c r="D55" s="95"/>
      <c r="E55" s="95"/>
    </row>
    <row r="56" spans="1:15">
      <c r="A56" s="99"/>
      <c r="B56" s="95"/>
      <c r="C56" s="95"/>
      <c r="D56" s="95"/>
      <c r="E56" s="95"/>
    </row>
    <row r="57" spans="1:15">
      <c r="A57" s="99"/>
      <c r="B57" s="95"/>
      <c r="C57" s="95"/>
      <c r="D57" s="95"/>
      <c r="E57" s="95"/>
    </row>
    <row r="58" spans="1:15">
      <c r="A58" s="99"/>
      <c r="B58" s="95"/>
      <c r="C58" s="95"/>
      <c r="D58" s="95"/>
      <c r="E58" s="95"/>
    </row>
    <row r="63" spans="1:15">
      <c r="J63" s="41"/>
      <c r="K63" s="41"/>
      <c r="L63" s="41"/>
      <c r="M63" s="41"/>
    </row>
    <row r="66" spans="12:12">
      <c r="L66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4554</v>
      </c>
      <c r="Z2" s="99" t="s">
        <v>4619</v>
      </c>
      <c r="AA2" s="99" t="s">
        <v>4617</v>
      </c>
      <c r="AB2" s="99" t="s">
        <v>4618</v>
      </c>
      <c r="AC2" s="99" t="s">
        <v>4621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4620</v>
      </c>
      <c r="Z4" s="99">
        <v>1</v>
      </c>
      <c r="AA4" s="99">
        <v>1</v>
      </c>
      <c r="AB4" s="99">
        <f t="shared" si="0"/>
        <v>1</v>
      </c>
      <c r="AC4" s="99" t="s">
        <v>4622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4605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2019-02-13T22:47:12Z</dcterms:modified>
</cp:coreProperties>
</file>