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T126" i="18" l="1"/>
  <c r="R120" i="18"/>
  <c r="R113" i="18"/>
  <c r="R112" i="18"/>
  <c r="R111" i="18"/>
  <c r="S84" i="18"/>
  <c r="M12" i="52" l="1"/>
  <c r="L12" i="52"/>
  <c r="D281" i="20" l="1"/>
  <c r="D280" i="20" l="1"/>
  <c r="K21" i="52" l="1"/>
  <c r="B35" i="52"/>
  <c r="R92" i="18"/>
  <c r="D279" i="20"/>
  <c r="U123" i="18" l="1"/>
  <c r="W120" i="18"/>
  <c r="D278" i="20"/>
  <c r="W99" i="18" l="1"/>
  <c r="W98" i="18"/>
  <c r="W97" i="18"/>
  <c r="G196" i="13"/>
  <c r="B196" i="13"/>
  <c r="B271" i="15"/>
  <c r="E260" i="15"/>
  <c r="E261" i="15"/>
  <c r="E262" i="15"/>
  <c r="E263" i="15"/>
  <c r="E264" i="15"/>
  <c r="E265" i="15"/>
  <c r="E266" i="15"/>
  <c r="E267" i="15"/>
  <c r="E268" i="15"/>
  <c r="E269" i="15"/>
  <c r="D269" i="15"/>
  <c r="D268" i="15" s="1"/>
  <c r="D267" i="15" s="1"/>
  <c r="D266" i="15" s="1"/>
  <c r="D265" i="15" s="1"/>
  <c r="D264" i="15" s="1"/>
  <c r="D263" i="15" s="1"/>
  <c r="D262" i="15" s="1"/>
  <c r="D261" i="15" s="1"/>
  <c r="D260" i="15" s="1"/>
  <c r="E253" i="15"/>
  <c r="E254" i="15"/>
  <c r="E255" i="15"/>
  <c r="E256" i="15"/>
  <c r="E257" i="15"/>
  <c r="E258" i="15"/>
  <c r="E259" i="15"/>
  <c r="D277" i="20"/>
  <c r="AJ116" i="18"/>
  <c r="F260" i="15" l="1"/>
  <c r="F269" i="15"/>
  <c r="F265" i="15"/>
  <c r="F261" i="15"/>
  <c r="F268" i="15"/>
  <c r="F264" i="15"/>
  <c r="F267" i="15"/>
  <c r="F263" i="15"/>
  <c r="F266" i="15"/>
  <c r="F262" i="15"/>
  <c r="S92" i="18"/>
  <c r="AR14" i="18"/>
  <c r="AJ160" i="18"/>
  <c r="S91" i="18" l="1"/>
  <c r="D276" i="20"/>
  <c r="K282" i="20"/>
  <c r="K283" i="20"/>
  <c r="K284" i="20"/>
  <c r="J282" i="20"/>
  <c r="J283" i="20"/>
  <c r="J284" i="20"/>
  <c r="I282" i="20"/>
  <c r="I283" i="20"/>
  <c r="I284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G284" i="20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I272" i="20" s="1"/>
  <c r="D275" i="20"/>
  <c r="D274" i="20"/>
  <c r="D273" i="20"/>
  <c r="N45" i="18"/>
  <c r="J281" i="20" l="1"/>
  <c r="K281" i="20"/>
  <c r="I281" i="20"/>
  <c r="I280" i="20"/>
  <c r="J280" i="20"/>
  <c r="K280" i="20"/>
  <c r="J279" i="20"/>
  <c r="J278" i="20"/>
  <c r="K279" i="20"/>
  <c r="I279" i="20"/>
  <c r="I277" i="20"/>
  <c r="I275" i="20"/>
  <c r="J276" i="20"/>
  <c r="I278" i="20"/>
  <c r="K278" i="20"/>
  <c r="K277" i="20"/>
  <c r="J277" i="20"/>
  <c r="I274" i="20"/>
  <c r="J274" i="20"/>
  <c r="K273" i="20"/>
  <c r="J272" i="20"/>
  <c r="K272" i="20"/>
  <c r="K275" i="20"/>
  <c r="J273" i="20"/>
  <c r="J275" i="20"/>
  <c r="K274" i="20"/>
  <c r="I276" i="20"/>
  <c r="K276" i="20"/>
  <c r="I273" i="20"/>
  <c r="N41" i="18"/>
  <c r="D272" i="20" l="1"/>
  <c r="D271" i="20" l="1"/>
  <c r="AL115" i="18"/>
  <c r="AL114" i="18" l="1"/>
  <c r="AM115" i="18"/>
  <c r="D270" i="20"/>
  <c r="N47" i="18"/>
  <c r="AL113" i="18" l="1"/>
  <c r="AM114" i="18"/>
  <c r="B286" i="20"/>
  <c r="H270" i="20"/>
  <c r="H271" i="20"/>
  <c r="H272" i="20"/>
  <c r="D269" i="20"/>
  <c r="H269" i="20"/>
  <c r="AL112" i="18" l="1"/>
  <c r="AM113" i="18"/>
  <c r="S53" i="18"/>
  <c r="N46" i="18"/>
  <c r="AL111" i="18" l="1"/>
  <c r="AM112" i="18"/>
  <c r="D57" i="54"/>
  <c r="AL110" i="18" l="1"/>
  <c r="AM111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09" i="18" l="1"/>
  <c r="AM110" i="18"/>
  <c r="H33" i="54"/>
  <c r="G2" i="54"/>
  <c r="G33" i="54" s="1"/>
  <c r="D2" i="54"/>
  <c r="R18" i="52"/>
  <c r="K20" i="52"/>
  <c r="K28" i="52" s="1"/>
  <c r="K19" i="52"/>
  <c r="K18" i="52"/>
  <c r="AL108" i="18" l="1"/>
  <c r="AM109" i="18"/>
  <c r="H38" i="54"/>
  <c r="I2" i="54"/>
  <c r="I33" i="54" s="1"/>
  <c r="I38" i="54" s="1"/>
  <c r="D32" i="54"/>
  <c r="N100" i="18"/>
  <c r="N101" i="18"/>
  <c r="N102" i="18"/>
  <c r="N103" i="18"/>
  <c r="N104" i="18"/>
  <c r="N105" i="18"/>
  <c r="N106" i="18"/>
  <c r="N107" i="18"/>
  <c r="N99" i="18"/>
  <c r="AL107" i="18" l="1"/>
  <c r="AM108" i="18"/>
  <c r="C286" i="20"/>
  <c r="M13" i="52"/>
  <c r="M6" i="52"/>
  <c r="N4" i="52"/>
  <c r="N3" i="52"/>
  <c r="N2" i="52"/>
  <c r="AL106" i="18" l="1"/>
  <c r="AM107" i="18"/>
  <c r="N6" i="52"/>
  <c r="M8" i="52" s="1"/>
  <c r="AL105" i="18" l="1"/>
  <c r="AM106" i="18"/>
  <c r="D266" i="20"/>
  <c r="H266" i="20"/>
  <c r="G30" i="51"/>
  <c r="H30" i="51"/>
  <c r="D30" i="51"/>
  <c r="I30" i="51" s="1"/>
  <c r="AL104" i="18" l="1"/>
  <c r="AM105" i="18"/>
  <c r="D265" i="20"/>
  <c r="H265" i="20"/>
  <c r="G29" i="51"/>
  <c r="H29" i="51"/>
  <c r="D29" i="51"/>
  <c r="I29" i="51" s="1"/>
  <c r="AL103" i="18" l="1"/>
  <c r="AM104" i="18"/>
  <c r="W119" i="18"/>
  <c r="N33" i="18"/>
  <c r="G28" i="51"/>
  <c r="H28" i="51"/>
  <c r="D28" i="51"/>
  <c r="I28" i="51" s="1"/>
  <c r="D264" i="20"/>
  <c r="H264" i="20"/>
  <c r="AL102" i="18" l="1"/>
  <c r="AM103" i="18"/>
  <c r="G27" i="51"/>
  <c r="H27" i="51"/>
  <c r="D27" i="51"/>
  <c r="I27" i="51" s="1"/>
  <c r="G26" i="51"/>
  <c r="H26" i="51"/>
  <c r="D26" i="51"/>
  <c r="I26" i="51" s="1"/>
  <c r="AL101" i="18" l="1"/>
  <c r="AM102" i="18"/>
  <c r="W118" i="18"/>
  <c r="AL100" i="18" l="1"/>
  <c r="AM100" i="18" s="1"/>
  <c r="AM101" i="18"/>
  <c r="L31" i="18" l="1"/>
  <c r="W112" i="18" l="1"/>
  <c r="W113" i="18"/>
  <c r="W114" i="18"/>
  <c r="W115" i="18"/>
  <c r="W116" i="18"/>
  <c r="W117" i="18"/>
  <c r="W122" i="18"/>
  <c r="W111" i="18"/>
  <c r="N48" i="18" l="1"/>
  <c r="R147" i="18" l="1"/>
  <c r="R156" i="18"/>
  <c r="R134" i="18"/>
  <c r="T139" i="18" l="1"/>
  <c r="T95" i="18"/>
  <c r="S38" i="18"/>
  <c r="S39" i="18" s="1"/>
  <c r="S40" i="18" s="1"/>
  <c r="R116" i="18"/>
  <c r="R115" i="18"/>
  <c r="R114" i="18"/>
  <c r="D57" i="51"/>
  <c r="S41" i="18" l="1"/>
  <c r="S42" i="18" s="1"/>
  <c r="M73" i="18" l="1"/>
  <c r="P26" i="18" l="1"/>
  <c r="N26" i="18" s="1"/>
  <c r="Q44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4" i="18" l="1"/>
  <c r="D108" i="50" l="1"/>
  <c r="P23" i="18" l="1"/>
  <c r="N43" i="18"/>
  <c r="C8" i="36" l="1"/>
  <c r="N39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8" i="18"/>
  <c r="AL96" i="18" l="1"/>
  <c r="AL95" i="18" s="1"/>
  <c r="AL157" i="18"/>
  <c r="AM158" i="18"/>
  <c r="S22" i="18"/>
  <c r="S23" i="18" s="1"/>
  <c r="S24" i="18" s="1"/>
  <c r="S25" i="18" s="1"/>
  <c r="P22" i="18"/>
  <c r="N22" i="18" s="1"/>
  <c r="N42" i="18"/>
  <c r="AM96" i="18" l="1"/>
  <c r="AL156" i="18"/>
  <c r="AM157" i="18"/>
  <c r="AL94" i="18"/>
  <c r="AM95" i="18"/>
  <c r="AL155" i="18" l="1"/>
  <c r="AM156" i="18"/>
  <c r="AL93" i="18"/>
  <c r="AM94" i="18"/>
  <c r="AL154" i="18" l="1"/>
  <c r="AM155" i="18"/>
  <c r="AL92" i="18"/>
  <c r="AM93" i="18"/>
  <c r="S26" i="18"/>
  <c r="S27" i="18" s="1"/>
  <c r="S28" i="18" s="1"/>
  <c r="S29" i="18" s="1"/>
  <c r="N73" i="18"/>
  <c r="AL153" i="18" l="1"/>
  <c r="AM154" i="18"/>
  <c r="S30" i="18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53" i="18" l="1"/>
  <c r="AL152" i="18"/>
  <c r="AL90" i="18"/>
  <c r="AM91" i="18"/>
  <c r="D73" i="48"/>
  <c r="N23" i="18"/>
  <c r="AL151" i="18" l="1"/>
  <c r="AM152" i="18"/>
  <c r="AM90" i="18"/>
  <c r="AL89" i="18"/>
  <c r="AL150" i="18" l="1"/>
  <c r="AM151" i="18"/>
  <c r="AL88" i="18"/>
  <c r="AM89" i="18"/>
  <c r="P53" i="18"/>
  <c r="AL149" i="18" l="1"/>
  <c r="AM150" i="18"/>
  <c r="AL87" i="18"/>
  <c r="AM88" i="18"/>
  <c r="AL148" i="18" l="1"/>
  <c r="AM149" i="18"/>
  <c r="AM87" i="18"/>
  <c r="AL86" i="18"/>
  <c r="N23" i="33"/>
  <c r="D23" i="33" s="1"/>
  <c r="AL147" i="18" l="1"/>
  <c r="AM148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46" i="18" l="1"/>
  <c r="AM147" i="18"/>
  <c r="AL84" i="18"/>
  <c r="AM85" i="18"/>
  <c r="P21" i="18"/>
  <c r="N21" i="18" s="1"/>
  <c r="AJ164" i="18" l="1"/>
  <c r="AJ165" i="18" s="1"/>
  <c r="AL145" i="18"/>
  <c r="AM146" i="18"/>
  <c r="Q33" i="18"/>
  <c r="AM84" i="18"/>
  <c r="AL83" i="18"/>
  <c r="AL144" i="18" l="1"/>
  <c r="AM145" i="18"/>
  <c r="AM83" i="18"/>
  <c r="AL82" i="18"/>
  <c r="S54" i="18"/>
  <c r="S55" i="18" s="1"/>
  <c r="AM144" i="18" l="1"/>
  <c r="AL143" i="18"/>
  <c r="AL81" i="18"/>
  <c r="AM82" i="18"/>
  <c r="AL142" i="18" l="1"/>
  <c r="AM143" i="18"/>
  <c r="AL80" i="18"/>
  <c r="AM80" i="18" s="1"/>
  <c r="AM81" i="18"/>
  <c r="AM142" i="18" l="1"/>
  <c r="AL141" i="18"/>
  <c r="AM141" i="18" l="1"/>
  <c r="AL140" i="18"/>
  <c r="B8" i="36"/>
  <c r="AL139" i="18" l="1"/>
  <c r="AM140" i="18"/>
  <c r="B10" i="36"/>
  <c r="AL138" i="18" l="1"/>
  <c r="AM139" i="18"/>
  <c r="S56" i="18"/>
  <c r="S57" i="18" l="1"/>
  <c r="S58" i="18" s="1"/>
  <c r="S59" i="18" s="1"/>
  <c r="S60" i="18" s="1"/>
  <c r="S61" i="18" s="1"/>
  <c r="S62" i="18" s="1"/>
  <c r="AL137" i="18"/>
  <c r="AM138" i="18"/>
  <c r="N25" i="33"/>
  <c r="N24" i="33"/>
  <c r="N21" i="33"/>
  <c r="N20" i="33"/>
  <c r="N19" i="33"/>
  <c r="N18" i="33"/>
  <c r="L18" i="33" s="1"/>
  <c r="N17" i="33"/>
  <c r="N9" i="33"/>
  <c r="N3" i="33"/>
  <c r="N4" i="33"/>
  <c r="AM137" i="18" l="1"/>
  <c r="AL136" i="18"/>
  <c r="S63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36" i="18" l="1"/>
  <c r="AL135" i="18"/>
  <c r="S64" i="18"/>
  <c r="AC15" i="33"/>
  <c r="AM135" i="18" l="1"/>
  <c r="AL134" i="18"/>
  <c r="S65" i="18"/>
  <c r="S66" i="18" s="1"/>
  <c r="N16" i="33"/>
  <c r="S67" i="18" l="1"/>
  <c r="S68" i="18" s="1"/>
  <c r="S69" i="18" s="1"/>
  <c r="S70" i="18" s="1"/>
  <c r="S71" i="18" s="1"/>
  <c r="S72" i="18" s="1"/>
  <c r="S73" i="18" s="1"/>
  <c r="S74" i="18" s="1"/>
  <c r="AM134" i="18"/>
  <c r="AL133" i="18"/>
  <c r="AM133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0" i="18" l="1"/>
  <c r="AN160" i="18" s="1"/>
  <c r="AJ163" i="18" s="1"/>
  <c r="S75" i="18"/>
  <c r="S76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85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85" i="20"/>
  <c r="S77" i="18" l="1"/>
  <c r="S78" i="18" s="1"/>
  <c r="S79" i="18" s="1"/>
  <c r="S80" i="18" s="1"/>
  <c r="AJ166" i="18"/>
  <c r="AJ167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S81" i="18" l="1"/>
  <c r="S82" i="18" s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8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S83" i="18" l="1"/>
  <c r="S85" i="18" s="1"/>
  <c r="I285" i="20"/>
  <c r="J285" i="20"/>
  <c r="K285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71" i="20" l="1"/>
  <c r="AL77" i="18"/>
  <c r="AM78" i="18"/>
  <c r="N53" i="18"/>
  <c r="G270" i="20" l="1"/>
  <c r="I271" i="20"/>
  <c r="J271" i="20"/>
  <c r="K271" i="20"/>
  <c r="AL76" i="18"/>
  <c r="AM77" i="18"/>
  <c r="G269" i="20" l="1"/>
  <c r="I270" i="20"/>
  <c r="J270" i="20"/>
  <c r="K270" i="20"/>
  <c r="AL75" i="18"/>
  <c r="AM76" i="18"/>
  <c r="N40" i="18"/>
  <c r="Q87" i="18" l="1"/>
  <c r="AJ122" i="18"/>
  <c r="AJ123" i="18" s="1"/>
  <c r="G268" i="20"/>
  <c r="I269" i="20"/>
  <c r="K269" i="20"/>
  <c r="J269" i="20"/>
  <c r="AL74" i="18"/>
  <c r="AM75" i="18"/>
  <c r="V129" i="18" l="1"/>
  <c r="S99" i="18"/>
  <c r="G267" i="20"/>
  <c r="K268" i="20"/>
  <c r="J268" i="20"/>
  <c r="I268" i="20"/>
  <c r="U139" i="18"/>
  <c r="AL73" i="18"/>
  <c r="AM74" i="18"/>
  <c r="N79" i="18"/>
  <c r="V85" i="18" l="1"/>
  <c r="V84" i="18"/>
  <c r="V82" i="18"/>
  <c r="V83" i="18"/>
  <c r="V81" i="18"/>
  <c r="V80" i="18"/>
  <c r="G266" i="20"/>
  <c r="I267" i="20"/>
  <c r="J267" i="20"/>
  <c r="K267" i="20"/>
  <c r="V78" i="18"/>
  <c r="V79" i="18"/>
  <c r="V76" i="18"/>
  <c r="V77" i="18"/>
  <c r="V74" i="18"/>
  <c r="X74" i="18" s="1"/>
  <c r="V75" i="18"/>
  <c r="V31" i="18"/>
  <c r="V73" i="18"/>
  <c r="V72" i="18"/>
  <c r="V71" i="18"/>
  <c r="V30" i="18"/>
  <c r="W30" i="18" s="1"/>
  <c r="V70" i="18"/>
  <c r="V69" i="18"/>
  <c r="W69" i="18" s="1"/>
  <c r="V42" i="18"/>
  <c r="V29" i="18"/>
  <c r="X29" i="18" s="1"/>
  <c r="V41" i="18"/>
  <c r="V68" i="18"/>
  <c r="V43" i="18"/>
  <c r="V40" i="18"/>
  <c r="V67" i="18"/>
  <c r="V139" i="18"/>
  <c r="V66" i="18"/>
  <c r="V65" i="18"/>
  <c r="V39" i="18"/>
  <c r="V63" i="18"/>
  <c r="V64" i="18"/>
  <c r="V28" i="18"/>
  <c r="V62" i="18"/>
  <c r="V27" i="18"/>
  <c r="V25" i="18"/>
  <c r="V26" i="18"/>
  <c r="V61" i="18"/>
  <c r="V60" i="18"/>
  <c r="V59" i="18"/>
  <c r="V24" i="18"/>
  <c r="V58" i="18"/>
  <c r="V57" i="18"/>
  <c r="V55" i="18"/>
  <c r="V56" i="18"/>
  <c r="V21" i="18"/>
  <c r="V23" i="18"/>
  <c r="V52" i="18"/>
  <c r="V20" i="18"/>
  <c r="V22" i="18"/>
  <c r="V53" i="18"/>
  <c r="V54" i="18"/>
  <c r="AL72" i="18"/>
  <c r="AM73" i="18"/>
  <c r="W84" i="18" l="1"/>
  <c r="X84" i="18"/>
  <c r="W85" i="18"/>
  <c r="X85" i="18"/>
  <c r="W83" i="18"/>
  <c r="X83" i="18"/>
  <c r="X82" i="18"/>
  <c r="W82" i="18"/>
  <c r="X81" i="18"/>
  <c r="W81" i="18"/>
  <c r="X80" i="18"/>
  <c r="W80" i="18"/>
  <c r="G265" i="20"/>
  <c r="I266" i="20"/>
  <c r="J266" i="20"/>
  <c r="K266" i="20"/>
  <c r="X79" i="18"/>
  <c r="W79" i="18"/>
  <c r="W78" i="18"/>
  <c r="X78" i="18"/>
  <c r="W77" i="18"/>
  <c r="X77" i="18"/>
  <c r="W76" i="18"/>
  <c r="X76" i="18"/>
  <c r="W74" i="18"/>
  <c r="W75" i="18"/>
  <c r="X75" i="18"/>
  <c r="W31" i="18"/>
  <c r="X31" i="18"/>
  <c r="X73" i="18"/>
  <c r="W73" i="18"/>
  <c r="W71" i="18"/>
  <c r="X71" i="18"/>
  <c r="W72" i="18"/>
  <c r="X72" i="18"/>
  <c r="X30" i="18"/>
  <c r="W70" i="18"/>
  <c r="X70" i="18"/>
  <c r="X69" i="18"/>
  <c r="W42" i="18"/>
  <c r="X42" i="18"/>
  <c r="W29" i="18"/>
  <c r="W41" i="18"/>
  <c r="X41" i="18"/>
  <c r="W68" i="18"/>
  <c r="X68" i="18"/>
  <c r="W40" i="18"/>
  <c r="X40" i="18"/>
  <c r="W43" i="18"/>
  <c r="X43" i="18"/>
  <c r="W67" i="18"/>
  <c r="X67" i="18"/>
  <c r="S98" i="18"/>
  <c r="N56" i="18"/>
  <c r="S97" i="18"/>
  <c r="W65" i="18"/>
  <c r="X65" i="18"/>
  <c r="X66" i="18"/>
  <c r="W66" i="18"/>
  <c r="X39" i="18"/>
  <c r="W39" i="18"/>
  <c r="W22" i="18"/>
  <c r="X22" i="18"/>
  <c r="W21" i="18"/>
  <c r="X21" i="18"/>
  <c r="W57" i="18"/>
  <c r="X57" i="18"/>
  <c r="W59" i="18"/>
  <c r="X59" i="18"/>
  <c r="W62" i="18"/>
  <c r="X62" i="18"/>
  <c r="W54" i="18"/>
  <c r="X54" i="18"/>
  <c r="W60" i="18"/>
  <c r="X60" i="18"/>
  <c r="W26" i="18"/>
  <c r="X26" i="18"/>
  <c r="W28" i="18"/>
  <c r="X28" i="18"/>
  <c r="W20" i="18"/>
  <c r="X20" i="18"/>
  <c r="W56" i="18"/>
  <c r="X56" i="18"/>
  <c r="W25" i="18"/>
  <c r="X25" i="18"/>
  <c r="X63" i="18"/>
  <c r="W63" i="18"/>
  <c r="W53" i="18"/>
  <c r="X53" i="18"/>
  <c r="W52" i="18"/>
  <c r="X52" i="18"/>
  <c r="W58" i="18"/>
  <c r="X58" i="18"/>
  <c r="W23" i="18"/>
  <c r="X23" i="18"/>
  <c r="W55" i="18"/>
  <c r="X55" i="18"/>
  <c r="X24" i="18"/>
  <c r="W24" i="18"/>
  <c r="W61" i="18"/>
  <c r="X61" i="18"/>
  <c r="W27" i="18"/>
  <c r="X27" i="18"/>
  <c r="X64" i="18"/>
  <c r="W64" i="18"/>
  <c r="AL71" i="18"/>
  <c r="AM72" i="18"/>
  <c r="N29" i="18" l="1"/>
  <c r="L21" i="18" s="1"/>
  <c r="G264" i="20"/>
  <c r="J265" i="20"/>
  <c r="I265" i="20"/>
  <c r="K265" i="20"/>
  <c r="U98" i="18"/>
  <c r="V98" i="18" s="1"/>
  <c r="AL70" i="18"/>
  <c r="AM71" i="18"/>
  <c r="G263" i="20" l="1"/>
  <c r="K264" i="20"/>
  <c r="I264" i="20"/>
  <c r="J264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62" i="20" l="1"/>
  <c r="J263" i="20"/>
  <c r="K263" i="20"/>
  <c r="I263" i="20"/>
  <c r="AL68" i="18"/>
  <c r="AM69" i="18"/>
  <c r="N2" i="33"/>
  <c r="G261" i="20" l="1"/>
  <c r="I262" i="20"/>
  <c r="J262" i="20"/>
  <c r="K262" i="20"/>
  <c r="AL67" i="18"/>
  <c r="AM68" i="18"/>
  <c r="I2" i="33"/>
  <c r="E2" i="33"/>
  <c r="J2" i="33"/>
  <c r="F2" i="33"/>
  <c r="K2" i="33"/>
  <c r="G2" i="33"/>
  <c r="D2" i="33"/>
  <c r="C2" i="33"/>
  <c r="H2" i="33"/>
  <c r="D73" i="45"/>
  <c r="J261" i="20" l="1"/>
  <c r="K261" i="20"/>
  <c r="G260" i="20"/>
  <c r="I261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60" i="20" l="1"/>
  <c r="I260" i="20"/>
  <c r="G259" i="20"/>
  <c r="K260" i="20"/>
  <c r="AL65" i="18"/>
  <c r="AM66" i="18"/>
  <c r="E45" i="14"/>
  <c r="G258" i="20" l="1"/>
  <c r="K259" i="20"/>
  <c r="J259" i="20"/>
  <c r="I259" i="20"/>
  <c r="AL64" i="18"/>
  <c r="AM65" i="18"/>
  <c r="E44" i="14"/>
  <c r="G257" i="20" l="1"/>
  <c r="K258" i="20"/>
  <c r="J258" i="20"/>
  <c r="I258" i="20"/>
  <c r="AM64" i="18"/>
  <c r="AL63" i="18"/>
  <c r="E43" i="14"/>
  <c r="G43" i="14" s="1"/>
  <c r="G256" i="20" l="1"/>
  <c r="I257" i="20"/>
  <c r="K257" i="20"/>
  <c r="J257" i="20"/>
  <c r="AL62" i="18"/>
  <c r="AM63" i="18"/>
  <c r="E42" i="14"/>
  <c r="G42" i="14" s="1"/>
  <c r="G255" i="20" l="1"/>
  <c r="K256" i="20"/>
  <c r="J256" i="20"/>
  <c r="I256" i="20"/>
  <c r="AL61" i="18"/>
  <c r="AM62" i="18"/>
  <c r="E41" i="14"/>
  <c r="G41" i="14" s="1"/>
  <c r="G254" i="20" l="1"/>
  <c r="I255" i="20"/>
  <c r="J255" i="20"/>
  <c r="K255" i="20"/>
  <c r="AM61" i="18"/>
  <c r="AL60" i="18"/>
  <c r="E40" i="14"/>
  <c r="G40" i="14" s="1"/>
  <c r="K254" i="20" l="1"/>
  <c r="I254" i="20"/>
  <c r="J254" i="20"/>
  <c r="G25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52" i="20" l="1"/>
  <c r="J253" i="20"/>
  <c r="K253" i="20"/>
  <c r="I253" i="20"/>
  <c r="AM59" i="18"/>
  <c r="AL58" i="18"/>
  <c r="E38" i="14"/>
  <c r="G38" i="14" s="1"/>
  <c r="K252" i="20" l="1"/>
  <c r="J252" i="20"/>
  <c r="I252" i="20"/>
  <c r="G251" i="20"/>
  <c r="AL57" i="18"/>
  <c r="AM58" i="18"/>
  <c r="E37" i="14"/>
  <c r="G37" i="14" s="1"/>
  <c r="G250" i="20" l="1"/>
  <c r="J251" i="20"/>
  <c r="K251" i="20"/>
  <c r="I251" i="20"/>
  <c r="AL56" i="18"/>
  <c r="AM57" i="18"/>
  <c r="E36" i="14"/>
  <c r="G36" i="14" s="1"/>
  <c r="B105" i="13"/>
  <c r="G249" i="20" l="1"/>
  <c r="J250" i="20"/>
  <c r="K250" i="20"/>
  <c r="I250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I249" i="20" l="1"/>
  <c r="G248" i="20"/>
  <c r="K249" i="20"/>
  <c r="J249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7" i="20" l="1"/>
  <c r="I248" i="20"/>
  <c r="K248" i="20"/>
  <c r="J248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6" i="20" l="1"/>
  <c r="I247" i="20"/>
  <c r="K247" i="20"/>
  <c r="J247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45" i="20" l="1"/>
  <c r="J246" i="20"/>
  <c r="K246" i="20"/>
  <c r="I246" i="20"/>
  <c r="H33" i="48"/>
  <c r="B27" i="50"/>
  <c r="D2" i="50"/>
  <c r="G2" i="50"/>
  <c r="G28" i="50" s="1"/>
  <c r="AL51" i="18"/>
  <c r="AM52" i="18"/>
  <c r="D27" i="48"/>
  <c r="E252" i="15"/>
  <c r="G244" i="20" l="1"/>
  <c r="I245" i="20"/>
  <c r="K245" i="20"/>
  <c r="J245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44" i="20" l="1"/>
  <c r="J244" i="20"/>
  <c r="G243" i="20"/>
  <c r="I244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42" i="20" l="1"/>
  <c r="K243" i="20"/>
  <c r="I243" i="20"/>
  <c r="J243" i="20"/>
  <c r="AL48" i="18"/>
  <c r="AM49" i="18"/>
  <c r="E30" i="14"/>
  <c r="G31" i="14"/>
  <c r="E248" i="15"/>
  <c r="G241" i="20" l="1"/>
  <c r="I242" i="20"/>
  <c r="K242" i="20"/>
  <c r="J242" i="20"/>
  <c r="AL47" i="18"/>
  <c r="AM48" i="18"/>
  <c r="E29" i="14"/>
  <c r="G30" i="14"/>
  <c r="E247" i="15"/>
  <c r="E246" i="15"/>
  <c r="G240" i="20" l="1"/>
  <c r="K241" i="20"/>
  <c r="I241" i="20"/>
  <c r="J241" i="20"/>
  <c r="AL46" i="18"/>
  <c r="AM47" i="18"/>
  <c r="E28" i="14"/>
  <c r="G29" i="14"/>
  <c r="E245" i="15"/>
  <c r="G239" i="20" l="1"/>
  <c r="I240" i="20"/>
  <c r="K240" i="20"/>
  <c r="J240" i="20"/>
  <c r="AM46" i="18"/>
  <c r="AL45" i="18"/>
  <c r="E27" i="14"/>
  <c r="G28" i="14"/>
  <c r="N15" i="33"/>
  <c r="E244" i="15"/>
  <c r="G238" i="20" l="1"/>
  <c r="K239" i="20"/>
  <c r="I239" i="20"/>
  <c r="J239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J238" i="20" l="1"/>
  <c r="G237" i="20"/>
  <c r="K238" i="20"/>
  <c r="I238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I237" i="20" l="1"/>
  <c r="G236" i="20"/>
  <c r="J237" i="20"/>
  <c r="K237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35" i="20" l="1"/>
  <c r="J236" i="20"/>
  <c r="K236" i="20"/>
  <c r="I236" i="20"/>
  <c r="AL41" i="18"/>
  <c r="AM42" i="18"/>
  <c r="E23" i="14"/>
  <c r="G24" i="14"/>
  <c r="H25" i="43"/>
  <c r="G2" i="43"/>
  <c r="G25" i="43" s="1"/>
  <c r="G30" i="43" s="1"/>
  <c r="H30" i="43" s="1"/>
  <c r="G234" i="20" l="1"/>
  <c r="I235" i="20"/>
  <c r="J235" i="20"/>
  <c r="K235" i="20"/>
  <c r="AM41" i="18"/>
  <c r="AL40" i="18"/>
  <c r="E22" i="14"/>
  <c r="G23" i="14"/>
  <c r="I2" i="43"/>
  <c r="I25" i="43" s="1"/>
  <c r="I30" i="43" s="1"/>
  <c r="D24" i="43"/>
  <c r="K234" i="20" l="1"/>
  <c r="I234" i="20"/>
  <c r="G233" i="20"/>
  <c r="J234" i="20"/>
  <c r="AL39" i="18"/>
  <c r="AM40" i="18"/>
  <c r="E21" i="14"/>
  <c r="E20" i="14" s="1"/>
  <c r="E19" i="14" s="1"/>
  <c r="E18" i="14" s="1"/>
  <c r="G22" i="14"/>
  <c r="E243" i="15"/>
  <c r="J233" i="20" l="1"/>
  <c r="K233" i="20"/>
  <c r="G232" i="20"/>
  <c r="I233" i="20"/>
  <c r="AM39" i="18"/>
  <c r="AL38" i="18"/>
  <c r="E242" i="15"/>
  <c r="G231" i="20" l="1"/>
  <c r="J232" i="20"/>
  <c r="K232" i="20"/>
  <c r="I232" i="20"/>
  <c r="AL37" i="18"/>
  <c r="AM38" i="18"/>
  <c r="J57" i="33"/>
  <c r="J55" i="33"/>
  <c r="J54" i="33"/>
  <c r="G230" i="20" l="1"/>
  <c r="K231" i="20"/>
  <c r="I231" i="20"/>
  <c r="J231" i="20"/>
  <c r="AL36" i="18"/>
  <c r="AM37" i="18"/>
  <c r="L57" i="33"/>
  <c r="E241" i="15"/>
  <c r="G229" i="20" l="1"/>
  <c r="K230" i="20"/>
  <c r="I230" i="20"/>
  <c r="J230" i="20"/>
  <c r="AM36" i="18"/>
  <c r="AL35" i="18"/>
  <c r="D168" i="20"/>
  <c r="G228" i="20" l="1"/>
  <c r="K229" i="20"/>
  <c r="I229" i="20"/>
  <c r="J229" i="20"/>
  <c r="AL34" i="18"/>
  <c r="AM35" i="18"/>
  <c r="E240" i="15"/>
  <c r="E239" i="15"/>
  <c r="D259" i="15" l="1"/>
  <c r="J228" i="20"/>
  <c r="I228" i="20"/>
  <c r="G227" i="20"/>
  <c r="K228" i="20"/>
  <c r="AL33" i="18"/>
  <c r="AM34" i="18"/>
  <c r="D258" i="15" l="1"/>
  <c r="F259" i="15"/>
  <c r="G226" i="20"/>
  <c r="K227" i="20"/>
  <c r="J227" i="20"/>
  <c r="I227" i="20"/>
  <c r="AL32" i="18"/>
  <c r="AM33" i="18"/>
  <c r="D257" i="15" l="1"/>
  <c r="F258" i="15"/>
  <c r="G225" i="20"/>
  <c r="J226" i="20"/>
  <c r="I226" i="20"/>
  <c r="K226" i="20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56" i="15" l="1"/>
  <c r="F257" i="15"/>
  <c r="J225" i="20"/>
  <c r="G224" i="20"/>
  <c r="K225" i="20"/>
  <c r="I225" i="20"/>
  <c r="AL30" i="18"/>
  <c r="AM31" i="18"/>
  <c r="L60" i="32"/>
  <c r="L48" i="32"/>
  <c r="D255" i="15" l="1"/>
  <c r="F256" i="15"/>
  <c r="G223" i="20"/>
  <c r="I224" i="20"/>
  <c r="J224" i="20"/>
  <c r="K224" i="20"/>
  <c r="AL29" i="18"/>
  <c r="AM30" i="18"/>
  <c r="D254" i="15" l="1"/>
  <c r="F255" i="15"/>
  <c r="J223" i="20"/>
  <c r="I223" i="20"/>
  <c r="G222" i="20"/>
  <c r="K223" i="20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D253" i="15" l="1"/>
  <c r="F254" i="15"/>
  <c r="K222" i="20"/>
  <c r="G221" i="20"/>
  <c r="I222" i="20"/>
  <c r="J222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D252" i="15" l="1"/>
  <c r="F253" i="15"/>
  <c r="J221" i="20"/>
  <c r="I221" i="20"/>
  <c r="G220" i="20"/>
  <c r="K221" i="20"/>
  <c r="AL26" i="18"/>
  <c r="AM27" i="18"/>
  <c r="G182" i="13"/>
  <c r="E180" i="13"/>
  <c r="G181" i="13"/>
  <c r="F140" i="13"/>
  <c r="F141" i="13"/>
  <c r="F142" i="13"/>
  <c r="F143" i="13"/>
  <c r="F144" i="13"/>
  <c r="F145" i="13"/>
  <c r="D251" i="15" l="1"/>
  <c r="F252" i="15"/>
  <c r="G219" i="20"/>
  <c r="K220" i="20"/>
  <c r="I220" i="20"/>
  <c r="J220" i="20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50" i="15" l="1"/>
  <c r="F251" i="15"/>
  <c r="G218" i="20"/>
  <c r="K219" i="20"/>
  <c r="I219" i="20"/>
  <c r="J219" i="20"/>
  <c r="AL24" i="18"/>
  <c r="AM25" i="18"/>
  <c r="E178" i="13"/>
  <c r="G179" i="13"/>
  <c r="D249" i="15" l="1"/>
  <c r="F250" i="15"/>
  <c r="G217" i="20"/>
  <c r="I218" i="20"/>
  <c r="K218" i="20"/>
  <c r="J218" i="20"/>
  <c r="AM24" i="18"/>
  <c r="AL23" i="18"/>
  <c r="E177" i="13"/>
  <c r="G178" i="13"/>
  <c r="F249" i="15" l="1"/>
  <c r="D248" i="15"/>
  <c r="J217" i="20"/>
  <c r="I217" i="20"/>
  <c r="K217" i="20"/>
  <c r="G216" i="20"/>
  <c r="AM23" i="18"/>
  <c r="AL22" i="18"/>
  <c r="E176" i="13"/>
  <c r="G177" i="13"/>
  <c r="D165" i="20"/>
  <c r="D247" i="15" l="1"/>
  <c r="F248" i="15"/>
  <c r="G215" i="20"/>
  <c r="J216" i="20"/>
  <c r="K216" i="20"/>
  <c r="I216" i="20"/>
  <c r="AL21" i="18"/>
  <c r="AL20" i="18" s="1"/>
  <c r="AM22" i="18"/>
  <c r="E175" i="13"/>
  <c r="G176" i="13"/>
  <c r="D164" i="20"/>
  <c r="F247" i="15" l="1"/>
  <c r="D246" i="15"/>
  <c r="G214" i="20"/>
  <c r="I215" i="20"/>
  <c r="K215" i="20"/>
  <c r="J215" i="20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16" i="18" l="1"/>
  <c r="F246" i="15"/>
  <c r="D245" i="15"/>
  <c r="G213" i="20"/>
  <c r="I214" i="20"/>
  <c r="K214" i="20"/>
  <c r="J214" i="20"/>
  <c r="E173" i="13"/>
  <c r="G174" i="13"/>
  <c r="X720" i="41"/>
  <c r="U2123" i="41"/>
  <c r="F245" i="15" l="1"/>
  <c r="D244" i="15"/>
  <c r="G212" i="20"/>
  <c r="J213" i="20"/>
  <c r="K213" i="20"/>
  <c r="I213" i="20"/>
  <c r="AN116" i="18"/>
  <c r="AJ121" i="18" s="1"/>
  <c r="AJ125" i="18" s="1"/>
  <c r="E172" i="13"/>
  <c r="G173" i="13"/>
  <c r="D62" i="38"/>
  <c r="F244" i="15" l="1"/>
  <c r="D243" i="15"/>
  <c r="I212" i="20"/>
  <c r="J212" i="20"/>
  <c r="K212" i="20"/>
  <c r="G211" i="20"/>
  <c r="AJ124" i="18"/>
  <c r="E171" i="13"/>
  <c r="G172" i="13"/>
  <c r="F243" i="15" l="1"/>
  <c r="D242" i="15"/>
  <c r="G210" i="20"/>
  <c r="J211" i="20"/>
  <c r="K211" i="20"/>
  <c r="I211" i="20"/>
  <c r="E170" i="13"/>
  <c r="G171" i="13"/>
  <c r="F242" i="15" l="1"/>
  <c r="D241" i="15"/>
  <c r="G209" i="20"/>
  <c r="K210" i="20"/>
  <c r="I210" i="20"/>
  <c r="J210" i="20"/>
  <c r="E169" i="13"/>
  <c r="G170" i="13"/>
  <c r="D163" i="20"/>
  <c r="F241" i="15" l="1"/>
  <c r="D240" i="15"/>
  <c r="G208" i="20"/>
  <c r="J209" i="20"/>
  <c r="I209" i="20"/>
  <c r="K209" i="20"/>
  <c r="E168" i="13"/>
  <c r="G169" i="13"/>
  <c r="D239" i="15" l="1"/>
  <c r="F240" i="15"/>
  <c r="G207" i="20"/>
  <c r="I208" i="20"/>
  <c r="K208" i="20"/>
  <c r="J208" i="20"/>
  <c r="E167" i="13"/>
  <c r="G168" i="13"/>
  <c r="D162" i="20"/>
  <c r="D238" i="15" l="1"/>
  <c r="F239" i="15"/>
  <c r="G206" i="20"/>
  <c r="K207" i="20"/>
  <c r="I207" i="20"/>
  <c r="J207" i="20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D237" i="15" l="1"/>
  <c r="F238" i="15"/>
  <c r="G73" i="16"/>
  <c r="K206" i="20"/>
  <c r="G205" i="20"/>
  <c r="J206" i="20"/>
  <c r="I206" i="20"/>
  <c r="G72" i="16"/>
  <c r="E165" i="13"/>
  <c r="G166" i="13"/>
  <c r="G71" i="16"/>
  <c r="G70" i="16"/>
  <c r="G69" i="16"/>
  <c r="D160" i="20"/>
  <c r="F237" i="15" l="1"/>
  <c r="D236" i="15"/>
  <c r="G204" i="20"/>
  <c r="I205" i="20"/>
  <c r="K205" i="20"/>
  <c r="J205" i="20"/>
  <c r="E164" i="13"/>
  <c r="G165" i="13"/>
  <c r="D159" i="20"/>
  <c r="D235" i="15" l="1"/>
  <c r="F236" i="15"/>
  <c r="K204" i="20"/>
  <c r="G203" i="20"/>
  <c r="J204" i="20"/>
  <c r="I204" i="20"/>
  <c r="E163" i="13"/>
  <c r="G164" i="13"/>
  <c r="D158" i="20"/>
  <c r="D157" i="20"/>
  <c r="F235" i="15" l="1"/>
  <c r="D234" i="15"/>
  <c r="K203" i="20"/>
  <c r="I203" i="20"/>
  <c r="G202" i="20"/>
  <c r="J203" i="20"/>
  <c r="E162" i="13"/>
  <c r="G163" i="13"/>
  <c r="D156" i="20"/>
  <c r="F234" i="15" l="1"/>
  <c r="D233" i="15"/>
  <c r="J202" i="20"/>
  <c r="I202" i="20"/>
  <c r="G201" i="20"/>
  <c r="K202" i="20"/>
  <c r="E161" i="13"/>
  <c r="G162" i="13"/>
  <c r="D155" i="20"/>
  <c r="D232" i="15" l="1"/>
  <c r="F233" i="15"/>
  <c r="I201" i="20"/>
  <c r="G200" i="20"/>
  <c r="J201" i="20"/>
  <c r="K201" i="20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232" i="15" l="1"/>
  <c r="D231" i="15"/>
  <c r="G199" i="20"/>
  <c r="I200" i="20"/>
  <c r="J200" i="20"/>
  <c r="K200" i="20"/>
  <c r="E159" i="13"/>
  <c r="G160" i="13"/>
  <c r="F231" i="15" l="1"/>
  <c r="D230" i="15"/>
  <c r="G198" i="20"/>
  <c r="K199" i="20"/>
  <c r="J199" i="20"/>
  <c r="I199" i="20"/>
  <c r="E158" i="13"/>
  <c r="G159" i="13"/>
  <c r="D154" i="20"/>
  <c r="D153" i="20"/>
  <c r="F230" i="15" l="1"/>
  <c r="D229" i="15"/>
  <c r="G197" i="20"/>
  <c r="K198" i="20"/>
  <c r="J198" i="20"/>
  <c r="I198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F229" i="15" l="1"/>
  <c r="D228" i="15"/>
  <c r="K197" i="20"/>
  <c r="J197" i="20"/>
  <c r="G196" i="20"/>
  <c r="I197" i="20"/>
  <c r="E156" i="13"/>
  <c r="G157" i="13"/>
  <c r="F228" i="15" l="1"/>
  <c r="D227" i="15"/>
  <c r="G195" i="20"/>
  <c r="J196" i="20"/>
  <c r="K196" i="20"/>
  <c r="I196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F227" i="15" l="1"/>
  <c r="D226" i="15"/>
  <c r="J195" i="20"/>
  <c r="I195" i="20"/>
  <c r="G194" i="20"/>
  <c r="K195" i="20"/>
  <c r="E154" i="13"/>
  <c r="G155" i="13"/>
  <c r="I46" i="32"/>
  <c r="D225" i="15" l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6" i="15"/>
  <c r="G193" i="20"/>
  <c r="K194" i="20"/>
  <c r="I194" i="20"/>
  <c r="J194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192" i="20" l="1"/>
  <c r="K193" i="20"/>
  <c r="I193" i="20"/>
  <c r="J193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91" i="20" l="1"/>
  <c r="K192" i="20"/>
  <c r="I192" i="20"/>
  <c r="J192" i="20"/>
  <c r="E151" i="13"/>
  <c r="G152" i="13"/>
  <c r="G190" i="20" l="1"/>
  <c r="K191" i="20"/>
  <c r="I191" i="20"/>
  <c r="J191" i="20"/>
  <c r="E150" i="13"/>
  <c r="G151" i="13"/>
  <c r="G189" i="20" l="1"/>
  <c r="J190" i="20"/>
  <c r="I190" i="20"/>
  <c r="K190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88" i="20" l="1"/>
  <c r="K189" i="20"/>
  <c r="J189" i="20"/>
  <c r="I189" i="20"/>
  <c r="E148" i="13"/>
  <c r="G149" i="13"/>
  <c r="G187" i="20" l="1"/>
  <c r="J188" i="20"/>
  <c r="I188" i="20"/>
  <c r="K188" i="20"/>
  <c r="E147" i="13"/>
  <c r="G148" i="13"/>
  <c r="G186" i="20" l="1"/>
  <c r="K187" i="20"/>
  <c r="J187" i="20"/>
  <c r="I187" i="20"/>
  <c r="E146" i="13"/>
  <c r="G147" i="13"/>
  <c r="K47" i="32"/>
  <c r="U47" i="32" s="1"/>
  <c r="U46" i="32"/>
  <c r="G185" i="20" l="1"/>
  <c r="K186" i="20"/>
  <c r="J186" i="20"/>
  <c r="I186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84" i="20" l="1"/>
  <c r="I185" i="20"/>
  <c r="K185" i="20"/>
  <c r="J185" i="20"/>
  <c r="E144" i="13"/>
  <c r="G145" i="13"/>
  <c r="AD15" i="32"/>
  <c r="AB15" i="32"/>
  <c r="Z34" i="32"/>
  <c r="G45" i="10"/>
  <c r="D42" i="34"/>
  <c r="I184" i="20" l="1"/>
  <c r="K184" i="20"/>
  <c r="J184" i="20"/>
  <c r="G183" i="20"/>
  <c r="E143" i="13"/>
  <c r="G144" i="13"/>
  <c r="AC16" i="32"/>
  <c r="AD16" i="32"/>
  <c r="AB16" i="32"/>
  <c r="I183" i="20" l="1"/>
  <c r="G182" i="20"/>
  <c r="K183" i="20"/>
  <c r="J183" i="20"/>
  <c r="E142" i="13"/>
  <c r="G143" i="13"/>
  <c r="K182" i="20" l="1"/>
  <c r="J182" i="20"/>
  <c r="I182" i="20"/>
  <c r="G181" i="20"/>
  <c r="E141" i="13"/>
  <c r="G142" i="13"/>
  <c r="U8" i="32"/>
  <c r="G180" i="20" l="1"/>
  <c r="J181" i="20"/>
  <c r="K181" i="20"/>
  <c r="I181" i="20"/>
  <c r="E140" i="13"/>
  <c r="G141" i="13"/>
  <c r="K180" i="20" l="1"/>
  <c r="G179" i="20"/>
  <c r="J180" i="20"/>
  <c r="I180" i="20"/>
  <c r="E139" i="13"/>
  <c r="G140" i="13"/>
  <c r="N34" i="33"/>
  <c r="I179" i="20" l="1"/>
  <c r="K179" i="20"/>
  <c r="G178" i="20"/>
  <c r="J179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7" i="20" l="1"/>
  <c r="K178" i="20"/>
  <c r="I178" i="20"/>
  <c r="J178" i="20"/>
  <c r="E137" i="13"/>
  <c r="G138" i="13"/>
  <c r="Q43" i="32"/>
  <c r="G176" i="20" l="1"/>
  <c r="I177" i="20"/>
  <c r="K177" i="20"/>
  <c r="J177" i="20"/>
  <c r="E136" i="13"/>
  <c r="G137" i="13"/>
  <c r="I42" i="32"/>
  <c r="K41" i="32"/>
  <c r="M41" i="32"/>
  <c r="M29" i="32"/>
  <c r="R29" i="32" s="1"/>
  <c r="K29" i="32"/>
  <c r="J176" i="20" l="1"/>
  <c r="G175" i="20"/>
  <c r="K176" i="20"/>
  <c r="I176" i="20"/>
  <c r="E135" i="13"/>
  <c r="G136" i="13"/>
  <c r="Q29" i="32"/>
  <c r="K175" i="20" l="1"/>
  <c r="G174" i="20"/>
  <c r="J175" i="20"/>
  <c r="I175" i="20"/>
  <c r="E134" i="13"/>
  <c r="G135" i="13"/>
  <c r="U29" i="32"/>
  <c r="U62" i="32"/>
  <c r="U63" i="32"/>
  <c r="U64" i="32"/>
  <c r="U65" i="32"/>
  <c r="U66" i="32"/>
  <c r="U67" i="32"/>
  <c r="U68" i="32"/>
  <c r="AC28" i="33"/>
  <c r="J174" i="20" l="1"/>
  <c r="G173" i="20"/>
  <c r="I174" i="20"/>
  <c r="E133" i="13"/>
  <c r="G134" i="13"/>
  <c r="AE24" i="33"/>
  <c r="G172" i="20" l="1"/>
  <c r="I173" i="20"/>
  <c r="K173" i="20"/>
  <c r="J173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71" i="20" l="1"/>
  <c r="J172" i="20"/>
  <c r="K172" i="20"/>
  <c r="I172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70" i="20" l="1"/>
  <c r="I171" i="20"/>
  <c r="K171" i="20"/>
  <c r="J171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9" i="20" l="1"/>
  <c r="K170" i="20"/>
  <c r="J170" i="20"/>
  <c r="I170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I169" i="20" l="1"/>
  <c r="G168" i="20"/>
  <c r="K169" i="20"/>
  <c r="J169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J168" i="20" l="1"/>
  <c r="I168" i="20"/>
  <c r="K168" i="20"/>
  <c r="G16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6" i="20" l="1"/>
  <c r="I167" i="20"/>
  <c r="J167" i="20"/>
  <c r="K167" i="20"/>
  <c r="E126" i="13"/>
  <c r="G127" i="13"/>
  <c r="H30" i="42"/>
  <c r="I2" i="42"/>
  <c r="I25" i="42" s="1"/>
  <c r="I30" i="42" s="1"/>
  <c r="D24" i="42"/>
  <c r="K28" i="32"/>
  <c r="K166" i="20" l="1"/>
  <c r="I166" i="20"/>
  <c r="G165" i="20"/>
  <c r="J166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64" i="20" l="1"/>
  <c r="K165" i="20"/>
  <c r="J165" i="20"/>
  <c r="I165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63" i="20" l="1"/>
  <c r="J164" i="20"/>
  <c r="K164" i="20"/>
  <c r="I164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62" i="20" l="1"/>
  <c r="J163" i="20"/>
  <c r="K163" i="20"/>
  <c r="I163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61" i="20" l="1"/>
  <c r="K162" i="20"/>
  <c r="J162" i="20"/>
  <c r="I162" i="20"/>
  <c r="G102" i="13"/>
  <c r="G199" i="13"/>
  <c r="G103" i="13"/>
  <c r="U14" i="32"/>
  <c r="L14" i="32" s="1"/>
  <c r="Q9" i="32"/>
  <c r="R9" i="32"/>
  <c r="Y5" i="33"/>
  <c r="G160" i="20" l="1"/>
  <c r="I161" i="20"/>
  <c r="J161" i="20"/>
  <c r="K161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60" i="20" l="1"/>
  <c r="I160" i="20"/>
  <c r="G159" i="20"/>
  <c r="J160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59" i="20" l="1"/>
  <c r="K159" i="20"/>
  <c r="I159" i="20"/>
  <c r="G158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7" i="20" l="1"/>
  <c r="K158" i="20"/>
  <c r="I158" i="20"/>
  <c r="J158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156" i="20" l="1"/>
  <c r="I157" i="20"/>
  <c r="J157" i="20"/>
  <c r="K157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56" i="20" l="1"/>
  <c r="I156" i="20"/>
  <c r="G155" i="20"/>
  <c r="J156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54" i="20" l="1"/>
  <c r="K155" i="20"/>
  <c r="I155" i="20"/>
  <c r="J155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I154" i="20" l="1"/>
  <c r="J154" i="20"/>
  <c r="K154" i="20"/>
  <c r="G153" i="20"/>
  <c r="H25" i="31"/>
  <c r="G25" i="31"/>
  <c r="I2" i="31"/>
  <c r="I25" i="31" s="1"/>
  <c r="D24" i="31"/>
  <c r="B24" i="31"/>
  <c r="G44" i="10"/>
  <c r="D143" i="20"/>
  <c r="K153" i="20" l="1"/>
  <c r="I153" i="20"/>
  <c r="G152" i="20"/>
  <c r="J153" i="20"/>
  <c r="H30" i="31"/>
  <c r="I30" i="31"/>
  <c r="G151" i="20" l="1"/>
  <c r="I152" i="20"/>
  <c r="J152" i="20"/>
  <c r="K152" i="20"/>
  <c r="E184" i="15"/>
  <c r="E185" i="15"/>
  <c r="E183" i="15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86" i="20" l="1"/>
  <c r="I119" i="20"/>
  <c r="K119" i="20"/>
  <c r="J116" i="20"/>
  <c r="E49" i="13"/>
  <c r="G50" i="13"/>
  <c r="I126" i="20"/>
  <c r="N17" i="18" l="1"/>
  <c r="N59" i="18" s="1"/>
  <c r="D29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F24" i="18" s="1"/>
  <c r="L60" i="18" l="1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86" i="20" s="1"/>
  <c r="J2" i="20"/>
  <c r="J286" i="20" s="1"/>
  <c r="I2" i="20"/>
  <c r="I286" i="20" s="1"/>
  <c r="F13" i="15"/>
  <c r="I289" i="20" l="1"/>
  <c r="J289" i="20"/>
  <c r="K289" i="20"/>
  <c r="F12" i="15"/>
  <c r="J293" i="20" l="1"/>
  <c r="K29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71" i="15" l="1"/>
  <c r="F274" i="15" s="1"/>
  <c r="U97" i="18" l="1"/>
  <c r="V97" i="18" s="1"/>
  <c r="U99" i="18"/>
  <c r="V99" i="18" s="1"/>
</calcChain>
</file>

<file path=xl/sharedStrings.xml><?xml version="1.0" encoding="utf-8"?>
<sst xmlns="http://schemas.openxmlformats.org/spreadsheetml/2006/main" count="10041" uniqueCount="4638">
  <si>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</si>
  <si>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</si>
  <si>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</si>
  <si>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</si>
  <si>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</si>
  <si>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</si>
  <si>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</si>
  <si>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</si>
  <si>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</si>
  <si>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</si>
  <si>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</si>
  <si>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</si>
  <si>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</si>
  <si>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</si>
  <si>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</si>
  <si>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</si>
  <si>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</si>
  <si>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</si>
  <si>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</si>
  <si>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</si>
  <si>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</si>
  <si>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</si>
  <si>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</si>
  <si>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</si>
  <si>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</si>
  <si>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</si>
  <si>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</si>
  <si>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</si>
  <si>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</si>
  <si>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</si>
  <si>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</si>
  <si>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</si>
  <si>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</si>
  <si>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</si>
  <si>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</si>
  <si>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</si>
  <si>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</si>
  <si>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</si>
  <si>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</si>
  <si>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</si>
  <si>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</si>
  <si>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</si>
  <si>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</si>
  <si>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</si>
  <si>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</si>
  <si>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</si>
  <si>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</si>
  <si>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</si>
  <si>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</si>
  <si>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</si>
  <si>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</si>
  <si>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</si>
  <si>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</si>
  <si>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</si>
  <si>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</si>
  <si>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</si>
  <si>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</si>
  <si>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</si>
  <si>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</si>
  <si>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</si>
  <si>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</si>
  <si>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</si>
  <si>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</si>
  <si>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</si>
  <si>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</si>
  <si>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</si>
  <si>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</si>
  <si>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</si>
  <si>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</si>
  <si>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</si>
  <si>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</si>
  <si>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</si>
  <si>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</si>
  <si>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</si>
  <si>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</si>
  <si>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</si>
  <si>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</si>
  <si>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</si>
  <si>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</si>
  <si>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</si>
  <si>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</si>
  <si>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</si>
  <si>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</si>
  <si>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</si>
  <si>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</si>
  <si>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</si>
  <si>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</si>
  <si>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</si>
  <si>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</si>
  <si>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</si>
  <si>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</si>
  <si>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</si>
  <si>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</si>
  <si>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</si>
  <si>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</si>
  <si>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</si>
  <si>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</si>
  <si>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</si>
  <si>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</si>
  <si>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</si>
  <si>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</si>
  <si>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</si>
  <si>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</si>
  <si>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</si>
  <si>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</si>
  <si>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</si>
  <si>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</si>
  <si>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</si>
  <si>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</si>
  <si>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</si>
  <si>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</si>
  <si>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</si>
  <si>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</si>
  <si>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</si>
  <si>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</si>
  <si>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</si>
  <si>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</si>
  <si>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</si>
  <si>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</si>
  <si>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</si>
  <si>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</si>
  <si>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</si>
  <si>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</si>
  <si>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</si>
  <si>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</si>
  <si>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</si>
  <si>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</si>
  <si>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</si>
  <si>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</si>
  <si>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</si>
  <si>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</si>
  <si>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</si>
  <si>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</si>
  <si>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</si>
  <si>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</si>
  <si>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</si>
  <si>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</si>
  <si>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</si>
  <si>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</si>
  <si>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</si>
  <si>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</si>
  <si>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</si>
  <si>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</si>
  <si>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</si>
  <si>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</si>
  <si>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</si>
  <si>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</si>
  <si>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</si>
  <si>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</si>
  <si>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</si>
  <si>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</si>
  <si>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</si>
  <si>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</si>
  <si>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</si>
  <si>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</si>
  <si>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</si>
  <si>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</si>
  <si>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</si>
  <si>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</si>
  <si>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</si>
  <si>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</si>
  <si>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</si>
  <si>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</si>
  <si>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</si>
  <si>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</si>
  <si>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</si>
  <si>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</si>
  <si>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</si>
  <si>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</si>
  <si>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</si>
  <si>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</si>
  <si>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</si>
  <si>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</si>
  <si>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</si>
  <si>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</si>
  <si>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</si>
  <si>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</si>
  <si>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</si>
  <si>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</si>
  <si>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</si>
  <si>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</si>
  <si>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</si>
  <si>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</si>
  <si>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</si>
  <si>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</si>
  <si>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</si>
  <si>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</si>
  <si>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</si>
  <si>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</si>
  <si>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</si>
  <si>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</si>
  <si>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</si>
  <si>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</si>
  <si>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</si>
  <si>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</si>
  <si>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</si>
  <si>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</si>
  <si>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</si>
  <si>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</si>
  <si>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</si>
  <si>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</si>
  <si>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</si>
  <si>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</si>
  <si>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</si>
  <si>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</si>
  <si>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</si>
  <si>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</si>
  <si>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</si>
  <si>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</si>
  <si>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</si>
  <si>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</si>
  <si>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</si>
  <si>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</si>
  <si>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</si>
  <si>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</si>
  <si>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</si>
  <si>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</si>
  <si>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</si>
  <si>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</si>
  <si>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</si>
  <si>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</si>
  <si>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</si>
  <si>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</si>
  <si>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</si>
  <si>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</si>
  <si>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</si>
  <si>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</si>
  <si>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</si>
  <si>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</si>
  <si>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</si>
  <si>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</si>
  <si>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</si>
  <si>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</si>
  <si>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</si>
  <si>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</si>
  <si>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</si>
  <si>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</si>
  <si>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</si>
  <si>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</si>
  <si>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</si>
  <si>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</si>
  <si>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</si>
  <si>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</si>
  <si>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</si>
  <si>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</si>
  <si>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</si>
  <si>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</si>
  <si>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</si>
  <si>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</si>
  <si>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</si>
  <si>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</si>
  <si>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</si>
  <si>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</si>
  <si>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</si>
  <si>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</si>
  <si>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</si>
  <si>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</si>
  <si>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</si>
  <si>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</si>
  <si>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</si>
  <si>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</si>
  <si>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</si>
  <si>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</si>
  <si>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</si>
  <si>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</si>
  <si>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</si>
  <si>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</si>
  <si>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</si>
  <si>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</si>
  <si>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</si>
  <si>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</si>
  <si>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</si>
  <si>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</si>
  <si>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</si>
  <si>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</si>
  <si>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</si>
  <si>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</si>
  <si>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</si>
  <si>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</si>
  <si>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</si>
  <si>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</si>
  <si>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</si>
  <si>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</si>
  <si>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</si>
  <si>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</si>
  <si>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</si>
  <si>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</si>
  <si>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</si>
  <si>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</si>
  <si>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</si>
  <si>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</si>
  <si>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</si>
  <si>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</si>
  <si>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</si>
  <si>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</si>
  <si>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</si>
  <si>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</si>
  <si>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</si>
  <si>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</si>
  <si>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</si>
  <si>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</si>
  <si>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</si>
  <si>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</si>
  <si>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</si>
  <si>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</si>
  <si>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</si>
  <si>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</si>
  <si>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</si>
  <si>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</si>
  <si>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</si>
  <si>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</si>
  <si>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</si>
  <si>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</si>
  <si>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</si>
  <si>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</si>
  <si>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</si>
  <si>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</si>
  <si>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</si>
  <si>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</si>
  <si>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</si>
  <si>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</si>
  <si>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</si>
  <si>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</si>
  <si>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</si>
  <si>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</si>
  <si>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</si>
  <si>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</si>
  <si>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</si>
  <si>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</si>
  <si>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</si>
  <si>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</si>
  <si>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</si>
  <si>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</si>
  <si>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</si>
  <si>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</si>
  <si>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</si>
  <si>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</si>
  <si>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</si>
  <si>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</si>
  <si>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</si>
  <si>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</si>
  <si>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</si>
  <si>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</si>
  <si>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</si>
  <si>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</si>
  <si>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</si>
  <si>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</si>
  <si>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</si>
  <si>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</si>
  <si>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</si>
  <si>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</si>
  <si>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</si>
  <si>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</si>
  <si>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</si>
  <si>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</si>
  <si>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</si>
  <si>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</si>
  <si>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</si>
  <si>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</si>
  <si>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</si>
  <si>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</si>
  <si>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</si>
  <si>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</si>
  <si>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</si>
  <si>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</si>
  <si>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</si>
  <si>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</si>
  <si>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</si>
  <si>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</si>
  <si>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</si>
  <si>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</si>
  <si>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</si>
  <si>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</si>
  <si>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</si>
  <si>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</si>
  <si>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</si>
  <si>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</si>
  <si>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</si>
  <si>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</si>
  <si>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</si>
  <si>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</si>
  <si>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</si>
  <si>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</si>
  <si>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</si>
  <si>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</si>
  <si>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</si>
  <si>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</si>
  <si>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</si>
  <si>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</si>
  <si>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</si>
  <si>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</si>
  <si>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</si>
  <si>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</si>
  <si>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</si>
  <si>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</si>
  <si>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</si>
  <si>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</si>
  <si>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</si>
  <si>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</si>
  <si>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</si>
  <si>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</si>
  <si>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</si>
  <si>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</si>
  <si>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</si>
  <si>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</si>
  <si>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</si>
  <si>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</si>
  <si>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</si>
  <si>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</si>
  <si>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</si>
  <si>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</si>
  <si>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</si>
  <si>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</si>
  <si>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</si>
  <si>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</si>
  <si>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</si>
  <si>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</si>
  <si>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</si>
  <si>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</si>
  <si>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</si>
  <si>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</si>
  <si>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</si>
  <si>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</si>
  <si>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</si>
  <si>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</si>
  <si>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</si>
  <si>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</si>
  <si>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</si>
  <si>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</si>
  <si>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</si>
  <si>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</si>
  <si>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</si>
  <si>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</si>
  <si>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</si>
  <si>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</si>
  <si>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</si>
  <si>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</si>
  <si>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</si>
  <si>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</si>
  <si>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</si>
  <si>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</si>
  <si>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</si>
  <si>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</si>
  <si>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</si>
  <si>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</si>
  <si>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</si>
  <si>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</si>
  <si>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</si>
  <si>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</si>
  <si>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</si>
  <si>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</si>
  <si>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</si>
  <si>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</si>
  <si>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</si>
  <si>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</si>
  <si>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</si>
  <si>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</si>
  <si>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</si>
  <si>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</si>
  <si>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</si>
  <si>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</si>
  <si>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</si>
  <si>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</si>
  <si>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</si>
  <si>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</si>
  <si>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</si>
  <si>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</si>
  <si>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</si>
  <si>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</si>
  <si>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</si>
  <si>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</si>
  <si>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</si>
  <si>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</si>
  <si>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</si>
  <si>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</si>
  <si>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</si>
  <si>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</si>
  <si>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</si>
  <si>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</si>
  <si>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</si>
  <si>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</si>
  <si>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</si>
  <si>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</si>
  <si>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</si>
  <si>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</si>
  <si>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</si>
  <si>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</si>
  <si>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</si>
  <si>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</si>
  <si>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</si>
  <si>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</si>
  <si>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</si>
  <si>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</si>
  <si>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</si>
  <si>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</si>
  <si>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</si>
  <si>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</si>
  <si>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</si>
  <si>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</si>
  <si>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</si>
  <si>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</si>
  <si>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</si>
  <si>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</si>
  <si>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</si>
  <si>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</si>
  <si>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</si>
  <si>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</si>
  <si>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</si>
  <si>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</si>
  <si>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</si>
  <si>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</si>
  <si>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</si>
  <si>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</si>
  <si>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</si>
  <si>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</si>
  <si>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</si>
  <si>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</si>
  <si>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</si>
  <si>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</si>
  <si>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</si>
  <si>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</si>
  <si>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</si>
  <si>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</si>
  <si>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</si>
  <si>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</si>
  <si>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</si>
  <si>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</si>
  <si>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</si>
  <si>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</si>
  <si>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</si>
  <si>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</si>
  <si>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</si>
  <si>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</si>
  <si>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</si>
  <si>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</si>
  <si>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</si>
  <si>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</si>
  <si>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</si>
  <si>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</si>
  <si>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</si>
  <si>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</si>
  <si>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</si>
  <si>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</si>
  <si>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</si>
  <si>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</si>
  <si>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</si>
  <si>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</si>
  <si>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</si>
  <si>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</si>
  <si>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</si>
  <si>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</si>
  <si>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</si>
  <si>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</si>
  <si>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</si>
  <si>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</si>
  <si>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</si>
  <si>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</si>
  <si>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</si>
  <si>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</si>
  <si>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</si>
  <si>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</si>
  <si>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</si>
  <si>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</si>
  <si>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</si>
  <si>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</si>
  <si>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</si>
  <si>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</si>
  <si>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</si>
  <si>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</si>
  <si>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</si>
  <si>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</si>
  <si>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</si>
  <si>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</si>
  <si>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</si>
  <si>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</si>
  <si>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</si>
  <si>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</si>
  <si>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</si>
  <si>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</si>
  <si>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</si>
  <si>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</si>
  <si>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</si>
  <si>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</si>
  <si>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</si>
  <si>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</si>
  <si>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</si>
  <si>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</si>
  <si>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</si>
  <si>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</si>
  <si>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</si>
  <si>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</si>
  <si>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</si>
  <si>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</si>
  <si>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</si>
  <si>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</si>
  <si>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</si>
  <si>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</si>
  <si>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</si>
  <si>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</si>
  <si>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</si>
  <si>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</si>
  <si>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</si>
  <si>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</si>
  <si>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</si>
  <si>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</si>
  <si>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</si>
  <si>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</si>
  <si>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</si>
  <si>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</si>
  <si>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</si>
  <si>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</si>
  <si>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</si>
  <si>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</si>
  <si>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</si>
  <si>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</si>
  <si>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</si>
  <si>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</si>
  <si>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</si>
  <si>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</si>
  <si>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</si>
  <si>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</si>
  <si>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</si>
  <si>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</si>
  <si>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</si>
  <si>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</si>
  <si>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</si>
  <si>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</si>
  <si>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</si>
  <si>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</si>
  <si>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</si>
  <si>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</si>
  <si>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</si>
  <si>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</si>
  <si>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</si>
  <si>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</si>
  <si>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</si>
  <si>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</si>
  <si>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</si>
  <si>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</si>
  <si>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</si>
  <si>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</si>
  <si>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</si>
  <si>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</si>
  <si>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</si>
  <si>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</si>
  <si>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</si>
  <si>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</si>
  <si>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</si>
  <si>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</si>
  <si>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</si>
  <si>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</si>
  <si>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</si>
  <si>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</si>
  <si>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</si>
  <si>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</si>
  <si>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</si>
  <si>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</si>
  <si>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</si>
  <si>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</si>
  <si>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</si>
  <si>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</si>
  <si>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</si>
  <si>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</si>
  <si>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</si>
  <si>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</si>
  <si>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</si>
  <si>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</si>
  <si>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</si>
  <si>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</si>
  <si>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</si>
  <si>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</si>
  <si>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</si>
  <si>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</si>
  <si>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</si>
  <si>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</si>
  <si>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</si>
  <si>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</si>
  <si>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</si>
  <si>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</si>
  <si>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</si>
  <si>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</si>
  <si>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</si>
  <si>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</si>
  <si>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</si>
  <si>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</si>
  <si>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</si>
  <si>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</si>
  <si>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</si>
  <si>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</si>
  <si>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</si>
  <si>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</si>
  <si>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</si>
  <si>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</si>
  <si>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</si>
  <si>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</si>
  <si>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</si>
  <si>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</si>
  <si>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</si>
  <si>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</si>
  <si>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</si>
  <si>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</si>
  <si>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</si>
  <si>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</si>
  <si>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</si>
  <si>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</si>
  <si>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</si>
  <si>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</si>
  <si>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</si>
  <si>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</si>
  <si>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</si>
  <si>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</si>
  <si>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</si>
  <si>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</si>
  <si>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</si>
  <si>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</si>
  <si>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</si>
  <si>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</si>
  <si>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</si>
  <si>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</si>
  <si>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</si>
  <si>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</si>
  <si>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</si>
  <si>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</si>
  <si>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</si>
  <si>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</si>
  <si>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</si>
  <si>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</si>
  <si>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</si>
  <si>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</si>
  <si>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</si>
  <si>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</si>
  <si>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</si>
  <si>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</si>
  <si>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</si>
  <si>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</si>
  <si>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</si>
  <si>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</si>
  <si>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</si>
  <si>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</si>
  <si>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</si>
  <si>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</si>
  <si>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</si>
  <si>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</si>
  <si>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</si>
  <si>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</si>
  <si>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</si>
  <si>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</si>
  <si>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</si>
  <si>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</si>
  <si>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</si>
  <si>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</si>
  <si>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</si>
  <si>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</si>
  <si>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</si>
  <si>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</si>
  <si>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</si>
  <si>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</si>
  <si>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</si>
  <si>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</si>
  <si>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</si>
  <si>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</si>
  <si>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</si>
  <si>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</si>
  <si>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</si>
  <si>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</si>
  <si>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</si>
  <si>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</si>
  <si>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</si>
  <si>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</si>
  <si>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</si>
  <si>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</si>
  <si>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</si>
  <si>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</si>
  <si>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</si>
  <si>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</si>
  <si>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</si>
  <si>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</si>
  <si>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</si>
  <si>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</si>
  <si>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</si>
  <si>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</si>
  <si>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</si>
  <si>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</si>
  <si>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</si>
  <si>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</si>
  <si>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</si>
  <si>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</si>
  <si>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</si>
  <si>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</si>
  <si>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</si>
  <si>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</si>
  <si>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</si>
  <si>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</si>
  <si>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</si>
  <si>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</si>
  <si>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</si>
  <si>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</si>
  <si>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</si>
  <si>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</si>
  <si>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</si>
  <si>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</si>
  <si>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</si>
  <si>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</si>
  <si>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</si>
  <si>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</si>
  <si>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</si>
  <si>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</si>
  <si>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</si>
  <si>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</si>
  <si>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</si>
  <si>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</si>
  <si>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</si>
  <si>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</si>
  <si>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</si>
  <si>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</si>
  <si>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</si>
  <si>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</si>
  <si>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</si>
  <si>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</si>
  <si>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</si>
  <si>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</si>
  <si>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</si>
  <si>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</si>
  <si>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</si>
  <si>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</si>
  <si>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</si>
  <si>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</si>
  <si>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</si>
  <si>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</si>
  <si>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</si>
  <si>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</si>
  <si>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</si>
  <si>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</si>
  <si>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</si>
  <si>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</si>
  <si>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</si>
  <si>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</si>
  <si>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</si>
  <si>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</si>
  <si>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</si>
  <si>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</si>
  <si>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</si>
  <si>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</si>
  <si>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</si>
  <si>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</si>
  <si>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</si>
  <si>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</si>
  <si>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</si>
  <si>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</si>
  <si>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</si>
  <si>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</si>
  <si>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</si>
  <si>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</si>
  <si>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</si>
  <si>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</si>
  <si>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</si>
  <si>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</si>
  <si>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</si>
  <si>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</si>
  <si>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</si>
  <si>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</si>
  <si>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</si>
  <si>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</si>
  <si>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</si>
  <si>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</si>
  <si>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</si>
  <si>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</si>
  <si>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</si>
  <si>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</si>
  <si>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</si>
  <si>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</si>
  <si>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</si>
  <si>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</si>
  <si>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</si>
  <si>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</si>
  <si>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</si>
  <si>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</si>
  <si>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</si>
  <si>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</si>
  <si>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</si>
  <si>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</si>
  <si>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</si>
  <si>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</si>
  <si>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</si>
  <si>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</si>
  <si>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</si>
  <si>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</si>
  <si>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</si>
  <si>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</si>
  <si>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</si>
  <si>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</si>
  <si>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</si>
  <si>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</si>
  <si>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</si>
  <si>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</si>
  <si>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</si>
  <si>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</si>
  <si>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</si>
  <si>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</si>
  <si>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</si>
  <si>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</si>
  <si>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</si>
  <si>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</si>
  <si>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</si>
  <si>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</si>
  <si>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</si>
  <si>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</si>
  <si>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</si>
  <si>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</si>
  <si>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</si>
  <si>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</si>
  <si>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</si>
  <si>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</si>
  <si>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</si>
  <si>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</si>
  <si>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</si>
  <si>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</si>
  <si>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</si>
  <si>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</si>
  <si>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</si>
  <si>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</si>
  <si>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</si>
  <si>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</si>
  <si>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</si>
  <si>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</si>
  <si>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</si>
  <si>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</si>
  <si>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</si>
  <si>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</si>
  <si>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</si>
  <si>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</si>
  <si>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</si>
  <si>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</si>
  <si>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</si>
  <si>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</si>
  <si>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</si>
  <si>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</si>
  <si>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</si>
  <si>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</si>
  <si>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</si>
  <si>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</si>
  <si>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</si>
  <si>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</si>
  <si>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</si>
  <si>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</si>
  <si>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</si>
  <si>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</si>
  <si>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</si>
  <si>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</si>
  <si>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</si>
  <si>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</si>
  <si>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</si>
  <si>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</si>
  <si>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</si>
  <si>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</si>
  <si>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</si>
  <si>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</si>
  <si>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</si>
  <si>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</si>
  <si>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</si>
  <si>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</si>
  <si>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</si>
  <si>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</si>
  <si>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</si>
  <si>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</si>
  <si>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</si>
  <si>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</si>
  <si>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</si>
  <si>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</si>
  <si>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</si>
  <si>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</si>
  <si>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</si>
  <si>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</si>
  <si>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</si>
  <si>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</si>
  <si>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</si>
  <si>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</si>
  <si>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</si>
  <si>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</si>
  <si>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</si>
  <si>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</si>
  <si>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</si>
  <si>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</si>
  <si>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</si>
  <si>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</si>
  <si>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</si>
  <si>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</si>
  <si>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</si>
  <si>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</si>
  <si>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</si>
  <si>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</si>
  <si>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</si>
  <si>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</si>
  <si>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</si>
  <si>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</si>
  <si>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</si>
  <si>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</si>
  <si>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</si>
  <si>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</si>
  <si>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</si>
  <si>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</si>
  <si>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</si>
  <si>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</si>
  <si>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</si>
  <si>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</si>
  <si>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</si>
  <si>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</si>
  <si>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</si>
  <si>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</si>
  <si>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</si>
  <si>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</si>
  <si>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</si>
  <si>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</si>
  <si>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</si>
  <si>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</si>
  <si>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</si>
  <si>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</si>
  <si>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</si>
  <si>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</si>
  <si>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</si>
  <si>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</si>
  <si>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</si>
  <si>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</si>
  <si>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</si>
  <si>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</si>
  <si>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</si>
  <si>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</si>
  <si>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</si>
  <si>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</si>
  <si>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</si>
  <si>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</si>
  <si>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</si>
  <si>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</si>
  <si>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</si>
  <si>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</si>
  <si>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</si>
  <si>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</si>
  <si>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</si>
  <si>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</si>
  <si>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</si>
  <si>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</si>
  <si>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</si>
  <si>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</si>
  <si>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</si>
  <si>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</si>
  <si>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</si>
  <si>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</si>
  <si>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</si>
  <si>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</si>
  <si>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</si>
  <si>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</si>
  <si>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</si>
  <si>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</si>
  <si>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</si>
  <si>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</si>
  <si>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</si>
  <si>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</si>
  <si>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</si>
  <si>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</si>
  <si>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</si>
  <si>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</si>
  <si>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</si>
  <si>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</si>
  <si>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</si>
  <si>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</si>
  <si>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</si>
  <si>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</si>
  <si>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</si>
  <si>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</si>
  <si>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</si>
  <si>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</si>
  <si>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</si>
  <si>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</si>
  <si>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</si>
  <si>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</si>
  <si>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</si>
  <si>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</si>
  <si>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</si>
  <si>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</si>
  <si>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</si>
  <si>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</si>
  <si>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</si>
  <si>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</si>
  <si>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</si>
  <si>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</si>
  <si>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</si>
  <si>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</si>
  <si>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</si>
  <si>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</si>
  <si>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</si>
  <si>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</si>
  <si>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</si>
  <si>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</si>
  <si>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</si>
  <si>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</si>
  <si>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</si>
  <si>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</si>
  <si>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</si>
  <si>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</si>
  <si>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</si>
  <si>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</si>
  <si>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</si>
  <si>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</si>
  <si>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</si>
  <si>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</si>
  <si>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</si>
  <si>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</si>
  <si>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</si>
  <si>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</si>
  <si>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</si>
  <si>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</si>
  <si>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</si>
  <si>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</si>
  <si>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</si>
  <si>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</si>
  <si>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</si>
  <si>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</si>
  <si>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</si>
  <si>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</si>
  <si>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</si>
  <si>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</si>
  <si>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</si>
  <si>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</si>
  <si>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</si>
  <si>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</si>
  <si>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</si>
  <si>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</si>
  <si>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</si>
  <si>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</si>
  <si>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</si>
  <si>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</si>
  <si>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</si>
  <si>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</si>
  <si>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</si>
  <si>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</si>
  <si>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</si>
  <si>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</si>
  <si>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</si>
  <si>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</si>
  <si>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</si>
  <si>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</si>
  <si>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</si>
  <si>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</si>
  <si>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</si>
  <si>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</si>
  <si>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</si>
  <si>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</si>
  <si>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</si>
  <si>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</si>
  <si>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</si>
  <si>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</si>
  <si>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</si>
  <si>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</si>
  <si>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</si>
  <si>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</si>
  <si>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</si>
  <si>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</si>
  <si>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</si>
  <si>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</si>
  <si>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</si>
  <si>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</si>
  <si>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</si>
  <si>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</si>
  <si>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</si>
  <si>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</si>
  <si>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</si>
  <si>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</si>
  <si>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</si>
  <si>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</si>
  <si>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</si>
  <si>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</si>
  <si>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</si>
  <si>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</si>
  <si>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</si>
  <si>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</si>
  <si>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</si>
  <si>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</si>
  <si>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</si>
  <si>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</si>
  <si>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</si>
  <si>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</si>
  <si>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</si>
  <si>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</si>
  <si>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</si>
  <si>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</si>
  <si>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</si>
  <si>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</si>
  <si>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</si>
  <si>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</si>
  <si>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</si>
  <si>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</si>
  <si>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</si>
  <si>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</si>
  <si>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</si>
  <si>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</si>
  <si>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</si>
  <si>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</si>
  <si>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</si>
  <si>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</si>
  <si>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</si>
  <si>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</si>
  <si>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</si>
  <si>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</si>
  <si>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</si>
  <si>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</si>
  <si>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</si>
  <si>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</si>
  <si>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</si>
  <si>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</si>
  <si>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</si>
  <si>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</si>
  <si>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</si>
  <si>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</si>
  <si>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</si>
  <si>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</si>
  <si>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</si>
  <si>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</si>
  <si>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</si>
  <si>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</si>
  <si>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</si>
  <si>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</si>
  <si>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</si>
  <si>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</si>
  <si>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</si>
  <si>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</si>
  <si>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</si>
  <si>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</si>
  <si>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</si>
  <si>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</si>
  <si>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</si>
  <si>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</si>
  <si>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</si>
  <si>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</si>
  <si>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</si>
  <si>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</si>
  <si>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</si>
  <si>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</si>
  <si>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</si>
  <si>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</si>
  <si>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</si>
  <si>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</si>
  <si>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</si>
  <si>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</si>
  <si>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</si>
  <si>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</si>
  <si>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</si>
  <si>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</si>
  <si>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</si>
  <si>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</si>
  <si>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</si>
  <si>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</si>
  <si>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</si>
  <si>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</si>
  <si>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</si>
  <si>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</si>
  <si>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</si>
  <si>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</si>
  <si>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</si>
  <si>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</si>
  <si>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</si>
  <si>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</si>
  <si>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</si>
  <si>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</si>
  <si>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</si>
  <si>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</si>
  <si>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</si>
  <si>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</si>
  <si>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</si>
  <si>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</si>
  <si>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</si>
  <si>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</si>
  <si>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</si>
  <si>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</si>
  <si>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</si>
  <si>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</si>
  <si>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</si>
  <si>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</si>
  <si>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</si>
  <si>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</si>
  <si>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</si>
  <si>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</si>
  <si>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</si>
  <si>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</si>
  <si>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</si>
  <si>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</si>
  <si>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</si>
  <si>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</si>
  <si>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</si>
  <si>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</si>
  <si>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</si>
  <si>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</si>
  <si>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</si>
  <si>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</si>
  <si>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</si>
  <si>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</si>
  <si>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</si>
  <si>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</si>
  <si>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</si>
  <si>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</si>
  <si>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</si>
  <si>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</si>
  <si>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</si>
  <si>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</si>
  <si>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</si>
  <si>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</si>
  <si>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</si>
  <si>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</si>
  <si>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</si>
  <si>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</si>
  <si>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</si>
  <si>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</si>
  <si>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</si>
  <si>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</si>
  <si>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</si>
  <si>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</si>
  <si>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</si>
  <si>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</si>
  <si>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</si>
  <si>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</si>
  <si>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</si>
  <si>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</si>
  <si>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</si>
  <si>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</si>
  <si>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</si>
  <si>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</si>
  <si>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</si>
  <si>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</si>
  <si>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</si>
  <si>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</si>
  <si>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</si>
  <si>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</si>
  <si>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</si>
  <si>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</si>
  <si>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</si>
  <si>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</si>
  <si>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</si>
  <si>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</si>
  <si>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</si>
  <si>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</si>
  <si>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</si>
  <si>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</si>
  <si>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</si>
  <si>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</si>
  <si>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</si>
  <si>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</si>
  <si>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</si>
  <si>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</si>
  <si>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</si>
  <si>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</si>
  <si>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</si>
  <si>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</si>
  <si>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</si>
  <si>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</si>
  <si>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</si>
  <si>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</si>
  <si>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</si>
  <si>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</si>
  <si>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</si>
  <si>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</si>
  <si>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</si>
  <si>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</si>
  <si>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</si>
  <si>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</si>
  <si>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</si>
  <si>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</si>
  <si>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</si>
  <si>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</si>
  <si>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</si>
  <si>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</si>
  <si>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</si>
  <si>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</si>
  <si>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</si>
  <si>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</si>
  <si>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</si>
  <si>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</si>
  <si>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</si>
  <si>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</si>
  <si>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</si>
  <si>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</si>
  <si>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</si>
  <si>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</si>
  <si>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</si>
  <si>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</si>
  <si>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</si>
  <si>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</si>
  <si>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</si>
  <si>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</si>
  <si>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</si>
  <si>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</si>
  <si>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</si>
  <si>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</si>
  <si>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</si>
  <si>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</si>
  <si>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</si>
  <si>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</si>
  <si>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</si>
  <si>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</si>
  <si>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</si>
  <si>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</si>
  <si>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</si>
  <si>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</si>
  <si>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</si>
  <si>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</si>
  <si>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</si>
  <si>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</si>
  <si>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</si>
  <si>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</si>
  <si>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</si>
  <si>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</si>
  <si>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</si>
  <si>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</si>
  <si>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</si>
  <si>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</si>
  <si>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</si>
  <si>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</si>
  <si>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</si>
  <si>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</si>
  <si>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</si>
  <si>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</si>
  <si>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</si>
  <si>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</si>
  <si>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</si>
  <si>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</si>
  <si>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</si>
  <si>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</si>
  <si>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</si>
  <si>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</si>
  <si>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</si>
  <si>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</si>
  <si>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</si>
  <si>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</si>
  <si>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</si>
  <si>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</si>
  <si>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</si>
  <si>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</si>
  <si>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</si>
  <si>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</si>
  <si>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</si>
  <si>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</si>
  <si>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</si>
  <si>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</si>
  <si>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</si>
  <si>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</si>
  <si>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</si>
  <si>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</si>
  <si>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</si>
  <si>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</si>
  <si>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</si>
  <si>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</si>
  <si>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</si>
  <si>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</si>
  <si>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</si>
  <si>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</si>
  <si>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</si>
  <si>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</si>
  <si>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</si>
  <si>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</si>
  <si>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</si>
  <si>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</si>
  <si>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</si>
  <si>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</si>
  <si>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</si>
  <si>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</si>
  <si>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</si>
  <si>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</si>
  <si>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</si>
  <si>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</si>
  <si>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</si>
  <si>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</si>
  <si>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</si>
  <si>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</si>
  <si>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</si>
  <si>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</si>
  <si>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</si>
  <si>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</si>
  <si>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</si>
  <si>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</si>
  <si>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</si>
  <si>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</si>
  <si>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</si>
  <si>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</si>
  <si>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</si>
  <si>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</si>
  <si>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</si>
  <si>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</si>
  <si>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</si>
  <si>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</si>
  <si>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</si>
  <si>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</si>
  <si>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</si>
  <si>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</si>
  <si>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</si>
  <si>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</si>
  <si>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</si>
  <si>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</si>
  <si>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</si>
  <si>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</si>
  <si>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</si>
  <si>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</si>
  <si>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</si>
  <si>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</si>
  <si>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</si>
  <si>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</si>
  <si>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</si>
  <si>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</si>
  <si>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</si>
  <si>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</si>
  <si>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</si>
  <si>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</si>
  <si>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</si>
  <si>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</si>
  <si>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</si>
  <si>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</si>
  <si>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</si>
  <si>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</si>
  <si>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</si>
  <si>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</si>
  <si>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</si>
  <si>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</si>
  <si>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</si>
  <si>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</si>
  <si>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</si>
  <si>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</si>
  <si>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</si>
  <si>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</si>
  <si>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</si>
  <si>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</si>
  <si>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</si>
  <si>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</si>
  <si>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</si>
  <si>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</si>
  <si>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</si>
  <si>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</si>
  <si>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</si>
  <si>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</si>
  <si>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</si>
  <si>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</si>
  <si>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</si>
  <si>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</si>
  <si>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</si>
  <si>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</si>
  <si>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</si>
  <si>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</si>
  <si>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</si>
  <si>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</si>
  <si>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</si>
  <si>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</si>
  <si>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</si>
  <si>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</si>
  <si>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</si>
  <si>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</si>
  <si>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</si>
  <si>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</si>
  <si>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</si>
  <si>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</si>
  <si>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</si>
  <si>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</si>
  <si>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</si>
  <si>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</si>
  <si>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</si>
  <si>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</si>
  <si>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</si>
  <si>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</si>
  <si>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</si>
  <si>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</si>
  <si>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</si>
  <si>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</si>
  <si>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</si>
  <si>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</si>
  <si>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</si>
  <si>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</si>
  <si>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</si>
  <si>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</si>
  <si>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</si>
  <si>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</si>
  <si>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</si>
  <si>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</si>
  <si>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</si>
  <si>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</si>
  <si>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</si>
  <si>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</si>
  <si>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</si>
  <si>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</si>
  <si>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</si>
  <si>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</si>
  <si>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</si>
  <si>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</si>
  <si>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</si>
  <si>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</si>
  <si>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</si>
  <si>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</si>
  <si>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</si>
  <si>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</si>
  <si>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</si>
  <si>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</si>
  <si>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</si>
  <si>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</si>
  <si>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</si>
  <si>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</si>
  <si>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</si>
  <si>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</si>
  <si>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</si>
  <si>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</si>
  <si>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</si>
  <si>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</si>
  <si>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</si>
  <si>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</si>
  <si>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</si>
  <si>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</si>
  <si>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</si>
  <si>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</si>
  <si>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</si>
  <si>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</si>
  <si>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</si>
  <si>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</si>
  <si>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</si>
  <si>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</si>
  <si>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</si>
  <si>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</si>
  <si>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</si>
  <si>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</si>
  <si>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</si>
  <si>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</si>
  <si>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</si>
  <si>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</si>
  <si>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</si>
  <si>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</si>
  <si>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</si>
  <si>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</si>
  <si>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</si>
  <si>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</si>
  <si>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</si>
  <si>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</si>
  <si>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</si>
  <si>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</si>
  <si>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</si>
  <si>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</si>
  <si>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</si>
  <si>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</si>
  <si>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</si>
  <si>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</si>
  <si>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</si>
  <si>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</si>
  <si>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</si>
  <si>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</si>
  <si>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</si>
  <si>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</si>
  <si>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</si>
  <si>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</si>
  <si>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</si>
  <si>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</si>
  <si>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</si>
  <si>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</si>
  <si>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</si>
  <si>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</si>
  <si>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</si>
  <si>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</si>
  <si>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</si>
  <si>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</si>
  <si>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</si>
  <si>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</si>
  <si>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</si>
  <si>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</si>
  <si>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</si>
  <si>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</si>
  <si>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</si>
  <si>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</si>
  <si>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</si>
  <si>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</si>
  <si>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</si>
  <si>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</si>
  <si>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</si>
  <si>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</si>
  <si>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</si>
  <si>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</si>
  <si>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</si>
  <si>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</si>
  <si>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</si>
  <si>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</si>
  <si>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</si>
  <si>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</si>
  <si>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</si>
  <si>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</si>
  <si>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</si>
  <si>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</si>
  <si>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</si>
  <si>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</si>
  <si>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</si>
  <si>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</si>
  <si>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</si>
  <si>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</si>
  <si>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</si>
  <si>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</si>
  <si>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</si>
  <si>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</si>
  <si>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</si>
  <si>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</si>
  <si>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</si>
  <si>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</si>
  <si>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</si>
  <si>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</si>
  <si>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</si>
  <si>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</si>
  <si>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</si>
  <si>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</si>
  <si>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</si>
  <si>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</si>
  <si>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</si>
  <si>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</si>
  <si>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</si>
  <si>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</si>
  <si>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</si>
  <si>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</si>
  <si>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</si>
  <si>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</si>
  <si>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</si>
  <si>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</si>
  <si>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</si>
  <si>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</si>
  <si>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</si>
  <si>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</si>
  <si>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</si>
  <si>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</si>
  <si>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</si>
  <si>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</si>
  <si>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</si>
  <si>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</si>
  <si>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</si>
  <si>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</si>
  <si>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</si>
  <si>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</si>
  <si>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</si>
  <si>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</si>
  <si>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</si>
  <si>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</si>
  <si>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</si>
  <si>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</si>
  <si>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</si>
  <si>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</si>
  <si>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</si>
  <si>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</si>
  <si>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</si>
  <si>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</si>
  <si>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</si>
  <si>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</si>
  <si>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</si>
  <si>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</si>
  <si>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</si>
  <si>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</si>
  <si>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</si>
  <si>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</si>
  <si>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</si>
  <si>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</si>
  <si>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</si>
  <si>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</si>
  <si>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</si>
  <si>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</si>
  <si>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</si>
  <si>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</si>
  <si>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</si>
  <si>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</si>
  <si>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</si>
  <si>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</si>
  <si>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</si>
  <si>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</si>
  <si>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</si>
  <si>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</si>
  <si>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</si>
  <si>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</si>
  <si>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</si>
  <si>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</si>
  <si>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</si>
  <si>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</si>
  <si>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</si>
  <si>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</si>
  <si>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</si>
  <si>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</si>
  <si>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</si>
  <si>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</si>
  <si>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</si>
  <si>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</si>
  <si>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</si>
  <si>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</si>
  <si>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</si>
  <si>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</si>
  <si>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</si>
  <si>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</si>
  <si>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</si>
  <si>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</si>
  <si>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</si>
  <si>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</si>
  <si>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</si>
  <si>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</si>
  <si>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</si>
  <si>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</si>
  <si>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</si>
  <si>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</si>
  <si>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</si>
  <si>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</si>
  <si>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</si>
  <si>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</si>
  <si>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</si>
  <si>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</si>
  <si>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</si>
  <si>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</si>
  <si>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</si>
  <si>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</si>
  <si>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</si>
  <si>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</si>
  <si>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</si>
  <si>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</si>
  <si>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</si>
  <si>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</si>
  <si>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</si>
  <si>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</si>
  <si>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</si>
  <si>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</si>
  <si>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</si>
  <si>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</si>
  <si>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</si>
  <si>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</si>
  <si>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</si>
  <si>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</si>
  <si>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</si>
  <si>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</si>
  <si>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</si>
  <si>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</si>
  <si>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</si>
  <si>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</si>
  <si>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</si>
  <si>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</si>
  <si>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</si>
  <si>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</si>
  <si>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</si>
  <si>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</si>
  <si>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</si>
  <si>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</si>
  <si>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</si>
  <si>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</si>
  <si>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</si>
  <si>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</si>
  <si>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</si>
  <si>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</si>
  <si>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</si>
  <si>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</si>
  <si>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</si>
  <si>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</si>
  <si>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</si>
  <si>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</si>
  <si>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</si>
  <si>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</si>
  <si>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</si>
  <si>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</si>
  <si>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</si>
  <si>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</si>
  <si>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</si>
  <si>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</si>
  <si>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</si>
  <si>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</si>
  <si>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</si>
  <si>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</si>
  <si>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</si>
  <si>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</si>
  <si>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</si>
  <si>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</si>
  <si>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</si>
  <si>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</si>
  <si>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</si>
  <si>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</si>
  <si>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</si>
  <si>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</si>
  <si>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</si>
  <si>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</si>
  <si>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</si>
  <si>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</si>
  <si>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</si>
  <si>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</si>
  <si>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</si>
  <si>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</si>
  <si>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</si>
  <si>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</si>
  <si>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</si>
  <si>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</si>
  <si>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</si>
  <si>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</si>
  <si>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</si>
  <si>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</si>
  <si>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</si>
  <si>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</si>
  <si>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</si>
  <si>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</si>
  <si>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</si>
  <si>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</si>
  <si>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</si>
  <si>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</si>
  <si>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</si>
  <si>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</si>
  <si>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</si>
  <si>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</si>
  <si>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</si>
  <si>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</si>
  <si>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</si>
  <si>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</si>
  <si>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</si>
  <si>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</si>
  <si>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</si>
  <si>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</si>
  <si>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</si>
  <si>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</si>
  <si>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</si>
  <si>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</si>
  <si>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</si>
  <si>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</si>
  <si>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</si>
  <si>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</si>
  <si>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</si>
  <si>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</si>
  <si>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</si>
  <si>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</si>
  <si>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</si>
  <si>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</si>
  <si>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</si>
  <si>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</si>
  <si>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</si>
  <si>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</si>
  <si>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</si>
  <si>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</si>
  <si>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</si>
  <si>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</si>
  <si>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</si>
  <si>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</si>
  <si>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</si>
  <si>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</si>
  <si>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</si>
  <si>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</si>
  <si>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</si>
  <si>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</si>
  <si>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</si>
  <si>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</si>
  <si>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</si>
  <si>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</si>
  <si>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</si>
  <si>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</si>
  <si>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</si>
  <si>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</si>
  <si>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</si>
  <si>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</si>
  <si>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</si>
  <si>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</si>
  <si>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</si>
  <si>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</si>
  <si>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</si>
  <si>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</si>
  <si>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</si>
  <si>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</si>
  <si>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</si>
  <si>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</si>
  <si>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</si>
  <si>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</si>
  <si>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</si>
  <si>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</si>
  <si>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</si>
  <si>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</si>
  <si>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</si>
  <si>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</si>
  <si>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</si>
  <si>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</si>
  <si>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</si>
  <si>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</si>
  <si>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</si>
  <si>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</si>
  <si>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</si>
  <si>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</si>
  <si>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</si>
  <si>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</si>
  <si>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</si>
  <si>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</si>
  <si>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</si>
  <si>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</si>
  <si>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</si>
  <si>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</si>
  <si>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</si>
  <si>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</si>
  <si>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</si>
  <si>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</si>
  <si>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</si>
  <si>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</si>
  <si>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</si>
  <si>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</si>
  <si>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</si>
  <si>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</si>
  <si>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</si>
  <si>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</si>
  <si>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</si>
  <si>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</si>
  <si>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</si>
  <si>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</si>
  <si>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</si>
  <si>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</si>
  <si>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</si>
  <si>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</si>
  <si>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</si>
  <si>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</si>
  <si>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</si>
  <si>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</si>
  <si>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</si>
  <si>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</si>
  <si>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</si>
  <si>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</si>
  <si>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</si>
  <si>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</si>
  <si>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</si>
  <si>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</si>
  <si>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</si>
  <si>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</si>
  <si>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</si>
  <si>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</si>
  <si>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</si>
  <si>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</si>
  <si>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</si>
  <si>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</si>
  <si>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</si>
  <si>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</si>
  <si>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</si>
  <si>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</si>
  <si>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</si>
  <si>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</si>
  <si>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</si>
  <si>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</si>
  <si>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</si>
  <si>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</si>
  <si>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</si>
  <si>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</si>
  <si>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</si>
  <si>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</si>
  <si>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</si>
  <si>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</si>
  <si>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</si>
  <si>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</si>
  <si>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</si>
  <si>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</si>
  <si>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</si>
  <si>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</si>
  <si>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</si>
  <si>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</si>
  <si>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</si>
  <si>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</si>
  <si>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</si>
  <si>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</si>
  <si>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</si>
  <si>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</si>
  <si>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</si>
  <si>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</si>
  <si>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</si>
  <si>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</si>
  <si>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</si>
  <si>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</si>
  <si>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</si>
  <si>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</si>
  <si>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</si>
  <si>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</si>
  <si>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</si>
  <si>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</si>
  <si>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</si>
  <si>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</si>
  <si>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</si>
  <si>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</si>
  <si>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</si>
  <si>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</si>
  <si>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</si>
  <si>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</si>
  <si>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</si>
  <si>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</si>
  <si>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</si>
  <si>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</si>
  <si>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</si>
  <si>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</si>
  <si>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</si>
  <si>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</si>
  <si>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</si>
  <si>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</si>
  <si>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</si>
  <si>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</si>
  <si>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</si>
  <si>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</si>
  <si>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</si>
  <si>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</si>
  <si>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</si>
  <si>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</si>
  <si>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</si>
  <si>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</si>
  <si>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</si>
  <si>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</si>
  <si>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</si>
  <si>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</si>
  <si>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</si>
  <si>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</si>
  <si>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</si>
  <si>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</si>
  <si>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</si>
  <si>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</si>
  <si>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</si>
  <si>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</si>
  <si>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</si>
  <si>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</si>
  <si>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</si>
  <si>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</si>
  <si>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</si>
  <si>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</si>
  <si>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</si>
  <si>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</si>
  <si>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</si>
  <si>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</si>
  <si>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</si>
  <si>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</si>
  <si>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</si>
  <si>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</si>
  <si>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</si>
  <si>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</si>
  <si>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</si>
  <si>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</si>
  <si>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</si>
  <si>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</si>
  <si>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</si>
  <si>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</si>
  <si>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</si>
  <si>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</si>
  <si>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</si>
  <si>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</si>
  <si>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</si>
  <si>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</si>
  <si>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</si>
  <si>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</si>
  <si>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</si>
  <si>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</si>
  <si>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</si>
  <si>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</si>
  <si>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</si>
  <si>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</si>
  <si>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</si>
  <si>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</si>
  <si>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</si>
  <si>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</si>
  <si>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</si>
  <si>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</si>
  <si>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</si>
  <si>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</si>
  <si>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</si>
  <si>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</si>
  <si>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</si>
  <si>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</si>
  <si>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</si>
  <si>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</si>
  <si>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</si>
  <si>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</si>
  <si>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</si>
  <si>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</si>
  <si>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</si>
  <si>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</si>
  <si>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</si>
  <si>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</si>
  <si>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</si>
  <si>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</si>
  <si>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</si>
  <si>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</si>
  <si>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</si>
  <si>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</si>
  <si>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</si>
  <si>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</si>
  <si>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</si>
  <si>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</si>
  <si>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</si>
  <si>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</si>
  <si>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</si>
  <si>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</si>
  <si>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</si>
  <si>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</si>
  <si>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</si>
  <si>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</si>
  <si>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</si>
  <si>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</si>
  <si>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</si>
  <si>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</si>
  <si>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</si>
  <si>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</si>
  <si>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</si>
  <si>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</si>
  <si>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</si>
  <si>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</si>
  <si>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</si>
  <si>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</si>
  <si>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</si>
  <si>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</si>
  <si>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</si>
  <si>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</si>
  <si>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</si>
  <si>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</si>
  <si>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</si>
  <si>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</si>
  <si>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</si>
  <si>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</si>
  <si>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</si>
  <si>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</si>
  <si>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</si>
  <si>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</si>
  <si>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</si>
  <si>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</si>
  <si>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</si>
  <si>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</si>
  <si>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</si>
  <si>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</si>
  <si>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</si>
  <si>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</si>
  <si>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</si>
  <si>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</si>
  <si>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</si>
  <si>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</si>
  <si>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</si>
  <si>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</si>
  <si>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</si>
  <si>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</si>
  <si>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</si>
  <si>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</si>
  <si>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</si>
  <si>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</si>
  <si>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</si>
  <si>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</si>
  <si>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</si>
  <si>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</si>
  <si>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</si>
  <si>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</si>
  <si>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</si>
  <si>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</si>
  <si>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</si>
  <si>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</si>
  <si>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</si>
  <si>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</si>
  <si>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</si>
  <si>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</si>
  <si>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</si>
  <si>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</si>
  <si>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</si>
  <si>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</si>
  <si>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</si>
  <si>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</si>
  <si>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</si>
  <si>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</si>
  <si>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</si>
  <si>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</si>
  <si>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</si>
  <si>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</si>
  <si>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</si>
  <si>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</si>
  <si>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</si>
  <si>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</si>
  <si>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</si>
  <si>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</si>
  <si>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</si>
  <si>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</si>
  <si>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</si>
  <si>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</si>
  <si>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</si>
  <si>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</si>
  <si>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</si>
  <si>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</si>
  <si>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</si>
  <si>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</si>
  <si>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</si>
  <si>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</si>
  <si>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</si>
  <si>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</si>
  <si>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</si>
  <si>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</si>
  <si>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</si>
  <si>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</si>
  <si>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</si>
  <si>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</si>
  <si>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</si>
  <si>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</si>
  <si>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</si>
  <si>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</si>
  <si>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</si>
  <si>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</si>
  <si>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</si>
  <si>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</si>
  <si>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</si>
  <si>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</si>
  <si>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</si>
  <si>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</si>
  <si>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</si>
  <si>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</si>
  <si>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</si>
  <si>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</si>
  <si>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</si>
  <si>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</si>
  <si>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</si>
  <si>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</si>
  <si>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</si>
  <si>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</si>
  <si>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</si>
  <si>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</si>
  <si>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</si>
  <si>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</si>
  <si>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</si>
  <si>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</si>
  <si>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</si>
  <si>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</si>
  <si>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</si>
  <si>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</si>
  <si>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</si>
  <si>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</si>
  <si>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</si>
  <si>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</si>
  <si>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</si>
  <si>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</si>
  <si>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</si>
  <si>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</si>
  <si>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</si>
  <si>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</si>
  <si>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</si>
  <si>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</si>
  <si>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</si>
  <si>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</si>
  <si>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</si>
  <si>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</si>
  <si>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</si>
  <si>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</si>
  <si>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</si>
  <si>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</si>
  <si>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</si>
  <si>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</si>
  <si>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</si>
  <si>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</si>
  <si>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</si>
  <si>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</si>
  <si>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</si>
  <si>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</si>
  <si>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</si>
  <si>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</si>
  <si>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</si>
  <si>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</si>
  <si>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</si>
  <si>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</si>
  <si>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</si>
  <si>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</si>
  <si>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</si>
  <si>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</si>
  <si>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</si>
  <si>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</si>
  <si>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</si>
  <si>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</si>
  <si>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</si>
  <si>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</si>
  <si>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</si>
  <si>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</si>
  <si>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</si>
  <si>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</si>
  <si>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</si>
  <si>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</si>
  <si>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</si>
  <si>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</si>
  <si>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</si>
  <si>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</si>
  <si>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</si>
  <si>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</si>
  <si>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</si>
  <si>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</si>
  <si>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</si>
  <si>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</si>
  <si>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</si>
  <si>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</si>
  <si>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</si>
  <si>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</si>
  <si>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</si>
  <si>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</si>
  <si>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</si>
  <si>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</si>
  <si>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</si>
  <si>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</si>
  <si>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</si>
  <si>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</si>
  <si>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</si>
  <si>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</si>
  <si>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</si>
  <si>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</si>
  <si>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</si>
  <si>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</si>
  <si>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</si>
  <si>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</si>
  <si>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</si>
  <si>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</si>
  <si>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</si>
  <si>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</si>
  <si>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</si>
  <si>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</si>
  <si>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</si>
  <si>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</si>
  <si>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</si>
  <si>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</si>
  <si>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</si>
  <si>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</si>
  <si>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</si>
  <si>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</si>
  <si>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</si>
  <si>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</si>
  <si>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</si>
  <si>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</si>
  <si>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</si>
  <si>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</si>
  <si>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</si>
  <si>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</si>
  <si>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</si>
  <si>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</si>
  <si>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</si>
  <si>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</si>
  <si>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</si>
  <si>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</si>
  <si>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</si>
  <si>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</si>
  <si>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</si>
  <si>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</si>
  <si>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</si>
  <si>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</si>
  <si>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</si>
  <si>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</si>
  <si>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</si>
  <si>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</si>
  <si>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</si>
  <si>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</si>
  <si>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</si>
  <si>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</si>
  <si>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</si>
  <si>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</si>
  <si>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</si>
  <si>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</si>
  <si>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</si>
  <si>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</si>
  <si>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</si>
  <si>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</si>
  <si>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</si>
  <si>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</si>
  <si>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</si>
  <si>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</si>
  <si>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</si>
  <si>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</si>
  <si>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</si>
  <si>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</si>
  <si>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</si>
  <si>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</si>
  <si>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</si>
  <si>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</si>
  <si>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</si>
  <si>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</si>
  <si>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</si>
  <si>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</si>
  <si>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</si>
  <si>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</si>
  <si>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</si>
  <si>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</si>
  <si>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</si>
  <si>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</si>
  <si>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</si>
  <si>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</si>
  <si>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</si>
  <si>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</si>
  <si>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</si>
  <si>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</si>
  <si>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</si>
  <si>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</si>
  <si>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</si>
  <si>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</si>
  <si>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</si>
  <si>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</si>
  <si>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</si>
  <si>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</si>
  <si>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</si>
  <si>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</si>
  <si>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</si>
  <si>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</si>
  <si>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</si>
  <si>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</si>
  <si>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</si>
  <si>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</si>
  <si>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</si>
  <si>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</si>
  <si>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</si>
  <si>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</si>
  <si>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</si>
  <si>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</si>
  <si>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</si>
  <si>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</si>
  <si>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</si>
  <si>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</si>
  <si>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</si>
  <si>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</si>
  <si>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</si>
  <si>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</si>
  <si>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</si>
  <si>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</si>
  <si>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</si>
  <si>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</si>
  <si>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</si>
  <si>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</si>
  <si>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</si>
  <si>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</si>
  <si>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</si>
  <si>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</si>
  <si>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</si>
  <si>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</si>
  <si>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</si>
  <si>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</si>
  <si>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</si>
  <si>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</si>
  <si>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</si>
  <si>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</si>
  <si>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</si>
  <si>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</si>
  <si>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</si>
  <si>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</si>
  <si>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</si>
  <si>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</si>
  <si>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</si>
  <si>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</si>
  <si>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</si>
  <si>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</si>
  <si>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</si>
  <si>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</si>
  <si>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</si>
  <si>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</si>
  <si>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</si>
  <si>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</si>
  <si>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</si>
  <si>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</si>
  <si>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</si>
  <si>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</si>
  <si>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</si>
  <si>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</si>
  <si>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</si>
  <si>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</si>
  <si>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</si>
  <si>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</si>
  <si>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</si>
  <si>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</si>
  <si>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</si>
  <si>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</si>
  <si>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</si>
  <si>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</si>
  <si>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</si>
  <si>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</si>
  <si>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</si>
  <si>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</si>
  <si>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</si>
  <si>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</si>
  <si>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</si>
  <si>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</si>
  <si>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</si>
  <si>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</si>
  <si>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</si>
  <si>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</si>
  <si>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</si>
  <si>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</si>
  <si>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</si>
  <si>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</si>
  <si>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</si>
  <si>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</si>
  <si>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</si>
  <si>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</si>
  <si>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</si>
  <si>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</si>
  <si>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</si>
  <si>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</si>
  <si>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</si>
  <si>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</si>
  <si>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</si>
  <si>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</si>
  <si>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</si>
  <si>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</si>
  <si>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</si>
  <si>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</si>
  <si>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</si>
  <si>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</si>
  <si>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</si>
  <si>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</si>
  <si>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</si>
  <si>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</si>
  <si>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</si>
  <si>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</si>
  <si>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</si>
  <si>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</si>
  <si>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</si>
  <si>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</si>
  <si>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</si>
  <si>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</si>
  <si>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</si>
  <si>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</si>
  <si>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</si>
  <si>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</si>
  <si>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</si>
  <si>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</si>
  <si>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</si>
  <si>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</si>
  <si>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</si>
  <si>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</si>
  <si>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</si>
  <si>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</si>
  <si>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</si>
  <si>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</si>
  <si>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</si>
  <si>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</si>
  <si>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</si>
  <si>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</si>
  <si>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</si>
  <si>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</si>
  <si>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</si>
  <si>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</si>
  <si>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</si>
  <si>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</si>
  <si>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</si>
  <si>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</si>
  <si>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</si>
  <si>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</si>
  <si>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</si>
  <si>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</si>
  <si>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</si>
  <si>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</si>
  <si>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</si>
  <si>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</si>
  <si>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</si>
  <si>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</si>
  <si>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</si>
  <si>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</si>
  <si>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</si>
  <si>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</si>
  <si>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</si>
  <si>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</si>
  <si>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</si>
  <si>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</si>
  <si>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</si>
  <si>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</si>
  <si>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</si>
  <si>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</si>
  <si>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</si>
  <si>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</si>
  <si>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</si>
  <si>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</si>
  <si>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</si>
  <si>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</si>
  <si>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</si>
  <si>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</si>
  <si>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</si>
  <si>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</si>
  <si>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</si>
  <si>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</si>
  <si>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</si>
  <si>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</si>
  <si>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</si>
  <si>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</si>
  <si>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</si>
  <si>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</si>
  <si>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</si>
  <si>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</si>
  <si>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</si>
  <si>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</si>
  <si>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</si>
  <si>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</si>
  <si>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</si>
  <si>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</si>
  <si>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</si>
  <si>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</si>
  <si>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</si>
  <si>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</si>
  <si>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</si>
  <si>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</si>
  <si>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</si>
  <si>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</si>
  <si>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</si>
  <si>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</si>
  <si>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</si>
  <si>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</si>
  <si>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</si>
  <si>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</si>
  <si>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</si>
  <si>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</si>
  <si>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</si>
  <si>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</si>
  <si>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</si>
  <si>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</si>
  <si>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</si>
  <si>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</si>
  <si>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</si>
  <si>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</si>
  <si>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</si>
  <si>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</si>
  <si>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</si>
  <si>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</si>
  <si>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</si>
  <si>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</si>
  <si>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</si>
  <si>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</si>
  <si>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</si>
  <si>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</si>
  <si>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</si>
  <si>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</si>
  <si>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</si>
  <si>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</si>
  <si>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</si>
  <si>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</si>
  <si>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</si>
  <si>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</si>
  <si>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</si>
  <si>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</si>
  <si>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</si>
  <si>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</si>
  <si>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</si>
  <si>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</si>
  <si>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</si>
  <si>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</si>
  <si>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</si>
  <si>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</si>
  <si>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</si>
  <si>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</si>
  <si>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</si>
  <si>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</si>
  <si>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</si>
  <si>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</si>
  <si>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</si>
  <si>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</si>
  <si>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</si>
  <si>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</si>
  <si>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</si>
  <si>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</si>
  <si>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</si>
  <si>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</si>
  <si>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</si>
  <si>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</si>
  <si>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</si>
  <si>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</si>
  <si>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</si>
  <si>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</si>
  <si>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</si>
  <si>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</si>
  <si>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</si>
  <si>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</si>
  <si>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</si>
  <si>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</si>
  <si>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</si>
  <si>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</si>
  <si>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</si>
  <si>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</si>
  <si>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</si>
  <si>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</si>
  <si>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</si>
  <si>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</si>
  <si>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</si>
  <si>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</si>
  <si>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</si>
  <si>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</si>
  <si>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</si>
  <si>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</si>
  <si>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</si>
  <si>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</si>
  <si>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</si>
  <si>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</si>
  <si>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</si>
  <si>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</si>
  <si>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</si>
  <si>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</si>
  <si>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</si>
  <si>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</si>
  <si>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</si>
  <si>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</si>
  <si>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</si>
  <si>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</si>
  <si>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</si>
  <si>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</si>
  <si>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</si>
  <si>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</si>
  <si>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</si>
  <si>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</si>
  <si>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</si>
  <si>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</si>
  <si>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</si>
  <si>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</si>
  <si>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</si>
  <si>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</si>
  <si>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</si>
  <si>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</si>
  <si>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</si>
  <si>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</si>
  <si>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</si>
  <si>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</si>
  <si>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</si>
  <si>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</si>
  <si>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</si>
  <si>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</si>
  <si>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</si>
  <si>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</si>
  <si>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</si>
  <si>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</si>
  <si>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</si>
  <si>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</si>
  <si>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</si>
  <si>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</si>
  <si>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</si>
  <si>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</si>
  <si>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</si>
  <si>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</si>
  <si>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</si>
  <si>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</si>
  <si>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</si>
  <si>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</si>
  <si>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</si>
  <si>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</si>
  <si>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</si>
  <si>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</si>
  <si>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</si>
  <si>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</si>
  <si>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</si>
  <si>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</si>
  <si>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</si>
  <si>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</si>
  <si>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</si>
  <si>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</si>
  <si>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</si>
  <si>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</si>
  <si>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</si>
  <si>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</si>
  <si>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</si>
  <si>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</si>
  <si>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</si>
  <si>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</si>
  <si>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</si>
  <si>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</si>
  <si>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</si>
  <si>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</si>
  <si>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</si>
  <si>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</si>
  <si>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</si>
  <si>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</si>
  <si>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</si>
  <si>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</si>
  <si>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</si>
  <si>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</si>
  <si>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</si>
  <si>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</si>
  <si>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</si>
  <si>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</si>
  <si>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</si>
  <si>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</si>
  <si>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</si>
  <si>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</si>
  <si>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</si>
  <si>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</si>
  <si>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</si>
  <si>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</si>
  <si>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</si>
  <si>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</si>
  <si>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</si>
  <si>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</si>
  <si>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</si>
  <si>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</si>
  <si>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</si>
  <si>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</si>
  <si>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</si>
  <si>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</si>
  <si>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</si>
  <si>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</si>
  <si>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</si>
  <si>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</si>
  <si>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</si>
  <si>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</si>
  <si>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</si>
  <si>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</si>
  <si>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</si>
  <si>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</si>
  <si>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</si>
  <si>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</si>
  <si>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</si>
  <si>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</si>
  <si>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</si>
  <si>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</si>
  <si>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</si>
  <si>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</si>
  <si>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</si>
  <si>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</si>
  <si>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</si>
  <si>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</si>
  <si>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</si>
  <si>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</si>
  <si>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</si>
  <si>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</si>
  <si>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</si>
  <si>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</si>
  <si>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</si>
  <si>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</si>
  <si>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</si>
  <si>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</si>
  <si>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</si>
  <si>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</si>
  <si>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</si>
  <si>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</si>
  <si>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</si>
  <si>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</si>
  <si>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</si>
  <si>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</si>
  <si>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</si>
  <si>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</si>
  <si>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</si>
  <si>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</si>
  <si>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</si>
  <si>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</si>
  <si>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</si>
  <si>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</si>
  <si>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</si>
  <si>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</si>
  <si>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</si>
  <si>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</si>
  <si>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</si>
  <si>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</si>
  <si>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</si>
  <si>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</si>
  <si>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</si>
  <si>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</si>
  <si>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</si>
  <si>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</si>
  <si>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</si>
  <si>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</si>
  <si>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</si>
  <si>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</si>
  <si>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</si>
  <si>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</si>
  <si>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</si>
  <si>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</si>
  <si>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</si>
  <si>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</si>
  <si>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</si>
  <si>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</si>
  <si>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</si>
  <si>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</si>
  <si>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</si>
  <si>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</si>
  <si>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</si>
  <si>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</si>
  <si>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</si>
  <si>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</si>
  <si>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</si>
  <si>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</si>
  <si>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</si>
  <si>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</si>
  <si>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</si>
  <si>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</si>
  <si>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</si>
  <si>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</si>
  <si>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</si>
  <si>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</si>
  <si>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</si>
  <si>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</si>
  <si>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</si>
  <si>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</si>
  <si>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</si>
  <si>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</si>
  <si>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</si>
  <si>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</si>
  <si>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</si>
  <si>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</si>
  <si>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</si>
  <si>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</si>
  <si>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</si>
  <si>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</si>
  <si>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</si>
  <si>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</si>
  <si>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</si>
  <si>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</si>
  <si>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</si>
  <si>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</si>
  <si>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</si>
  <si>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</si>
  <si>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</si>
  <si>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</si>
  <si>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</si>
  <si>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</si>
  <si>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</si>
  <si>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</si>
  <si>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</si>
  <si>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</si>
  <si>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</si>
  <si>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</si>
  <si>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</si>
  <si>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</si>
  <si>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</si>
  <si>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</si>
  <si>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</si>
  <si>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</si>
  <si>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</si>
  <si>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</si>
  <si>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</si>
  <si>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</si>
  <si>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</si>
  <si>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</si>
  <si>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</si>
  <si>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</si>
  <si>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</si>
  <si>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</si>
  <si>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</si>
  <si>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</si>
  <si>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</si>
  <si>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</si>
  <si>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</si>
  <si>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</si>
  <si>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</si>
  <si>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</si>
  <si>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</si>
  <si>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</si>
  <si>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</si>
  <si>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</si>
  <si>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</si>
  <si>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</si>
  <si>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</si>
  <si>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</si>
  <si>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</si>
  <si>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</si>
  <si>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</si>
  <si>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</si>
  <si>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</si>
  <si>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</si>
  <si>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</si>
  <si>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</si>
  <si>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</si>
  <si>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</si>
  <si>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</si>
  <si>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</si>
  <si>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</si>
  <si>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</si>
  <si>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</si>
  <si>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</si>
  <si>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</si>
  <si>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</si>
  <si>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</si>
  <si>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</si>
  <si>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</si>
  <si>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</si>
  <si>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</si>
  <si>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</si>
  <si>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</si>
  <si>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</si>
  <si>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</si>
  <si>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</si>
  <si>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</si>
  <si>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</si>
  <si>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</si>
  <si>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</si>
  <si>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</si>
  <si>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</si>
  <si>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</si>
  <si>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</si>
  <si>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</si>
  <si>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</si>
  <si>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</si>
  <si>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</si>
  <si>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</si>
  <si>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</si>
  <si>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</si>
  <si>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</si>
  <si>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</si>
  <si>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</si>
  <si>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</si>
  <si>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</si>
  <si>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</si>
  <si>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</si>
  <si>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</si>
  <si>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</si>
  <si>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</si>
  <si>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</si>
  <si>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</si>
  <si>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</si>
  <si>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</si>
  <si>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</si>
  <si>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</si>
  <si>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</si>
  <si>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</si>
  <si>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</si>
  <si>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</si>
  <si>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</si>
  <si>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</si>
  <si>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</si>
  <si>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</si>
  <si>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</si>
  <si>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</si>
  <si>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</si>
  <si>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</si>
  <si>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</si>
  <si>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</si>
  <si>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</si>
  <si>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</si>
  <si>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</si>
  <si>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</si>
  <si>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</si>
  <si>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</si>
  <si>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</si>
  <si>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</si>
  <si>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</si>
  <si>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</si>
  <si>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</si>
  <si>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</si>
  <si>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</si>
  <si>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</si>
  <si>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</si>
  <si>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</si>
  <si>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</si>
  <si>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</si>
  <si>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</si>
  <si>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</si>
  <si>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</si>
  <si>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</si>
  <si>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</si>
  <si>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</si>
  <si>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</si>
  <si>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</si>
  <si>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</si>
  <si>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</si>
  <si>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</si>
  <si>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</si>
  <si>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</si>
  <si>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</si>
  <si>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</si>
  <si>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</si>
  <si>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</si>
  <si>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</si>
  <si>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</si>
  <si>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</si>
  <si>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</si>
  <si>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</si>
  <si>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</si>
  <si>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</si>
  <si>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</si>
  <si>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</si>
  <si>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</si>
  <si>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</si>
  <si>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</si>
  <si>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</si>
  <si>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</si>
  <si>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</si>
  <si>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</si>
  <si>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</si>
  <si>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</si>
  <si>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</si>
  <si>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</si>
  <si>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</si>
  <si>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</si>
  <si>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</si>
  <si>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</si>
  <si>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</si>
  <si>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</si>
  <si>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</si>
  <si>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</si>
  <si>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</si>
  <si>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</si>
  <si>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</si>
  <si>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</si>
  <si>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</si>
  <si>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</si>
  <si>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</si>
  <si>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</si>
  <si>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</si>
  <si>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</si>
  <si>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</si>
  <si>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</si>
  <si>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</si>
  <si>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</si>
  <si>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</si>
  <si>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</si>
  <si>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</si>
  <si>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</si>
  <si>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</si>
  <si>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</si>
  <si>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</si>
  <si>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</si>
  <si>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</si>
  <si>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</si>
  <si>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</si>
  <si>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</si>
  <si>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</si>
  <si>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</si>
  <si>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</si>
  <si>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</si>
  <si>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</si>
  <si>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</si>
  <si>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</si>
  <si>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</si>
  <si>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</si>
  <si>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</si>
  <si>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</si>
  <si>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</si>
  <si>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</si>
  <si>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</si>
  <si>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</si>
  <si>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</si>
  <si>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</si>
  <si>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</si>
  <si>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</si>
  <si>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</si>
  <si>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</si>
  <si>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</si>
  <si>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</si>
  <si>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</si>
  <si>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</si>
  <si>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</si>
  <si>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</si>
  <si>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</si>
  <si>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</si>
  <si>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</si>
  <si>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</si>
  <si>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</si>
  <si>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</si>
  <si>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</si>
  <si>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</si>
  <si>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</si>
  <si>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</si>
  <si>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</si>
  <si>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</si>
  <si>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</si>
  <si>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</si>
  <si>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</si>
  <si>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</si>
  <si>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</si>
  <si>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</si>
  <si>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</si>
  <si>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</si>
  <si>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</si>
  <si>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</si>
  <si>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</si>
  <si>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</si>
  <si>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</si>
  <si>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</si>
  <si>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</si>
  <si>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</si>
  <si>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</si>
  <si>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</si>
  <si>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</si>
  <si>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</si>
  <si>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</si>
  <si>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</si>
  <si>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</si>
  <si>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</si>
  <si>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</si>
  <si>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</si>
  <si>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</si>
  <si>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</si>
  <si>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</si>
  <si>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</si>
  <si>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</si>
  <si>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</si>
  <si>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</si>
  <si>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</si>
  <si>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</si>
  <si>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</si>
  <si>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</si>
  <si>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</si>
  <si>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</si>
  <si>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</si>
  <si>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</si>
  <si>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</si>
  <si>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</si>
  <si>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</si>
  <si>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</si>
  <si>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</si>
  <si>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</si>
  <si>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</si>
  <si>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</si>
  <si>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</si>
  <si>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</si>
  <si>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</si>
  <si>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</si>
  <si>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</si>
  <si>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</si>
  <si>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</si>
  <si>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</si>
  <si>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</si>
  <si>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</si>
  <si>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</si>
  <si>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</si>
  <si>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</si>
  <si>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</si>
  <si>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</si>
  <si>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</si>
  <si>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</si>
  <si>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</si>
  <si>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</si>
  <si>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</si>
  <si>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</si>
  <si>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</si>
  <si>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</si>
  <si>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</si>
  <si>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</si>
  <si>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</si>
  <si>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</si>
  <si>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</si>
  <si>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</si>
  <si>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</si>
  <si>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</si>
  <si>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</si>
  <si>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</si>
  <si>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</si>
  <si>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</si>
  <si>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</si>
  <si>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</si>
  <si>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</si>
  <si>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</si>
  <si>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</si>
  <si>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</si>
  <si>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</si>
  <si>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</si>
  <si>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</si>
  <si>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</si>
  <si>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</si>
  <si>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</si>
  <si>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</si>
  <si>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</si>
  <si>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</si>
  <si>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</si>
  <si>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</si>
  <si>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</si>
  <si>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</si>
  <si>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</si>
  <si>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</si>
  <si>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</si>
  <si>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</si>
  <si>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</si>
  <si>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</si>
  <si>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</si>
  <si>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</si>
  <si>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</si>
  <si>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</si>
  <si>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</si>
  <si>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</si>
  <si>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</si>
  <si>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</si>
  <si>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</si>
  <si>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</si>
  <si>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</si>
  <si>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</si>
  <si>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</si>
  <si>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</si>
  <si>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</si>
  <si>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</si>
  <si>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</si>
  <si>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</si>
  <si>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</si>
  <si>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</si>
  <si>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</si>
  <si>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</si>
  <si>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</si>
  <si>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</si>
  <si>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</si>
  <si>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</si>
  <si>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</si>
  <si>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</si>
  <si>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</si>
  <si>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</si>
  <si>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</si>
  <si>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</si>
  <si>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</si>
  <si>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</si>
  <si>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</si>
  <si>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</si>
  <si>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</si>
  <si>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</si>
  <si>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</si>
  <si>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</si>
  <si>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</si>
  <si>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</si>
  <si>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</si>
  <si>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</si>
  <si>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</si>
  <si>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</si>
  <si>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</si>
  <si>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</si>
  <si>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</si>
  <si>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</si>
  <si>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</si>
  <si>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</si>
  <si>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</si>
  <si>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</si>
  <si>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</si>
  <si>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</si>
  <si>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</si>
  <si>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</si>
  <si>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</si>
  <si>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</si>
  <si>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</si>
  <si>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</si>
  <si>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</si>
  <si>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</si>
  <si>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</si>
  <si>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</si>
  <si>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</si>
  <si>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</si>
  <si>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</si>
  <si>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</si>
  <si>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</si>
  <si>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</si>
  <si>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</si>
  <si>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</si>
  <si>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</si>
  <si>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</si>
  <si>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</si>
  <si>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</si>
  <si>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</si>
  <si>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</si>
  <si>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</si>
  <si>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</si>
  <si>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</si>
  <si>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</si>
  <si>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</si>
  <si>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</si>
  <si>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</si>
  <si>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</si>
  <si>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</si>
  <si>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</si>
  <si>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</si>
  <si>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</si>
  <si>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</si>
  <si>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</si>
  <si>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</si>
  <si>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</si>
  <si>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</si>
  <si>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</si>
  <si>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</si>
  <si>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</si>
  <si>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</si>
  <si>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</si>
  <si>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</si>
  <si>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</si>
  <si>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</si>
  <si>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</si>
  <si>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</si>
  <si>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</si>
  <si>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</si>
  <si>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</si>
  <si>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</si>
  <si>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</si>
  <si>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</si>
  <si>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</si>
  <si>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</si>
  <si>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</si>
  <si>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</si>
  <si>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</si>
  <si>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</si>
  <si>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</si>
  <si>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</si>
  <si>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</si>
  <si>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</si>
  <si>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</si>
  <si>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</si>
  <si>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</si>
  <si>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</si>
  <si>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</si>
  <si>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</si>
  <si>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</si>
  <si>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</si>
  <si>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</si>
  <si>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</si>
  <si>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</si>
  <si>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</si>
  <si>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</si>
  <si>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</si>
  <si>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</si>
  <si>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</si>
  <si>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</si>
  <si>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</si>
  <si>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</si>
  <si>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</si>
  <si>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</si>
  <si>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</si>
  <si>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</si>
  <si>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</si>
  <si>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</si>
  <si>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</si>
  <si>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</si>
  <si>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</si>
  <si>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</si>
  <si>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</si>
  <si>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</si>
  <si>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</si>
  <si>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</si>
  <si>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</si>
  <si>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</si>
  <si>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</si>
  <si>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</si>
  <si>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</si>
  <si>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</si>
  <si>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</si>
  <si>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</si>
  <si>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</si>
  <si>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</si>
  <si>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</si>
  <si>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</si>
  <si>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</si>
  <si>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</si>
  <si>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</si>
  <si>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</si>
  <si>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</si>
  <si>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</si>
  <si>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</si>
  <si>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</si>
  <si>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</si>
  <si>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</si>
  <si>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</si>
  <si>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</si>
  <si>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</si>
  <si>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</si>
  <si>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</si>
  <si>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</si>
  <si>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</si>
  <si>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</si>
  <si>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</si>
  <si>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</si>
  <si>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</si>
  <si>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</si>
  <si>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</si>
  <si>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</si>
  <si>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</si>
  <si>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</si>
  <si>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</si>
  <si>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</si>
  <si>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</si>
  <si>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</si>
  <si>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</si>
  <si>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</si>
  <si>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</si>
  <si>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</si>
  <si>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</si>
  <si>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</si>
  <si>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</si>
  <si>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</si>
  <si>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</si>
  <si>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</si>
  <si>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</si>
  <si>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</si>
  <si>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</si>
  <si>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</si>
  <si>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</si>
  <si>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</si>
  <si>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</si>
  <si>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</si>
  <si>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</si>
  <si>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</si>
  <si>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</si>
  <si>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</si>
  <si>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</si>
  <si>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</si>
  <si>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</si>
  <si>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</si>
  <si>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</si>
  <si>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</si>
  <si>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</si>
  <si>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</si>
  <si>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</si>
  <si>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</si>
  <si>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</si>
  <si>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</si>
  <si>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</si>
  <si>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</si>
  <si>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</si>
  <si>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</si>
  <si>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</si>
  <si>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</si>
  <si>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</si>
  <si>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</si>
  <si>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</si>
  <si>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</si>
  <si>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</si>
  <si>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</si>
  <si>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</si>
  <si>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</si>
  <si>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</si>
  <si>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</si>
  <si>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</si>
  <si>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</si>
  <si>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</si>
  <si>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</si>
  <si>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</si>
  <si>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</si>
  <si>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</si>
  <si>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</si>
  <si>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</si>
  <si>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</si>
  <si>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</si>
  <si>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</si>
  <si>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</si>
  <si>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</si>
  <si>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</si>
  <si>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</si>
  <si>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</si>
  <si>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</si>
  <si>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</si>
  <si>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</si>
  <si>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</si>
  <si>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</si>
  <si>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</si>
  <si>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</si>
  <si>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</si>
  <si>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</si>
  <si>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</si>
  <si>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</si>
  <si>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</si>
  <si>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</si>
  <si>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</si>
  <si>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</si>
  <si>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</si>
  <si>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</si>
  <si>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</si>
  <si>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</si>
  <si>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</si>
  <si>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</si>
  <si>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</si>
  <si>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</si>
  <si>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</si>
  <si>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</si>
  <si>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</si>
  <si>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</si>
  <si>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</si>
  <si>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</si>
  <si>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</si>
  <si>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</si>
  <si>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</si>
  <si>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</si>
  <si>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</si>
  <si>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</si>
  <si>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</si>
  <si>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</si>
  <si>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</si>
  <si>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</si>
  <si>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</si>
  <si>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</si>
  <si>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</si>
  <si>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</si>
  <si>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</si>
  <si>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</si>
  <si>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</si>
  <si>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</si>
  <si>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</si>
  <si>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</si>
  <si>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</si>
  <si>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</si>
  <si>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</si>
  <si>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</si>
  <si>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</si>
  <si>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</si>
  <si>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</si>
  <si>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</si>
  <si>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</si>
  <si>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</si>
  <si>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</si>
  <si>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</si>
  <si>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</si>
  <si>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</si>
  <si>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</si>
  <si>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</si>
  <si>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</si>
  <si>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</si>
  <si>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</si>
  <si>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</si>
  <si>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</si>
  <si>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</si>
  <si>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</si>
  <si>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</si>
  <si>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</si>
  <si>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</si>
  <si>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</si>
  <si>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</si>
  <si>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</si>
  <si>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</si>
  <si>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</si>
  <si>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</si>
  <si>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</si>
  <si>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</si>
  <si>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</si>
  <si>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</si>
  <si>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</si>
  <si>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</si>
  <si>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</si>
  <si>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</si>
  <si>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</si>
  <si>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</si>
  <si>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</si>
  <si>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</si>
  <si>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</si>
  <si>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</si>
  <si>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</si>
  <si>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</si>
  <si>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</si>
  <si>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</si>
  <si>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</si>
  <si>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</si>
  <si>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</si>
  <si>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</si>
  <si>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</si>
  <si>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</si>
  <si>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</si>
  <si>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</si>
  <si>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</si>
  <si>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</si>
  <si>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</si>
  <si>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</si>
  <si>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</si>
  <si>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</si>
  <si>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</si>
  <si>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</si>
  <si>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</si>
  <si>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</si>
  <si>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</si>
  <si>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</si>
  <si>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</si>
  <si>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</si>
  <si>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</si>
  <si>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</si>
  <si>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</si>
  <si>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</si>
  <si>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</si>
  <si>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</si>
  <si>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</si>
  <si>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</si>
  <si>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</si>
  <si>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</si>
  <si>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</si>
  <si>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</si>
  <si>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</si>
  <si>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</si>
  <si>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</si>
  <si>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</si>
  <si>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</si>
  <si>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</si>
  <si>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</si>
  <si>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</si>
  <si>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</si>
  <si>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</si>
  <si>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</si>
  <si>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</si>
  <si>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</si>
  <si>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</si>
  <si>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</si>
  <si>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</si>
  <si>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</si>
  <si>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</si>
  <si>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</si>
  <si>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</si>
  <si>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</si>
  <si>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</si>
  <si>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</si>
  <si>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</si>
  <si>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</si>
  <si>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</si>
  <si>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</si>
  <si>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</si>
  <si>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</si>
  <si>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</si>
  <si>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</si>
  <si>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</si>
  <si>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</si>
  <si>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</si>
  <si>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</si>
  <si>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</si>
  <si>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</si>
  <si>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</si>
  <si>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</si>
  <si>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</si>
  <si>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</si>
  <si>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</si>
  <si>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</si>
  <si>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</si>
  <si>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</si>
  <si>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</si>
  <si>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</si>
  <si>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</si>
  <si>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</si>
  <si>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</si>
  <si>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</si>
  <si>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</si>
  <si>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</si>
  <si>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</si>
  <si>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</si>
  <si>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</si>
  <si>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</si>
  <si>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</si>
  <si>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</si>
  <si>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</si>
  <si>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</si>
  <si>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</si>
  <si>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</si>
  <si>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</si>
  <si>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</si>
  <si>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</si>
  <si>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</si>
  <si>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</si>
  <si>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</si>
  <si>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</si>
  <si>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</si>
  <si>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</si>
  <si>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</si>
  <si>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</si>
  <si>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</si>
  <si>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</si>
  <si>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</si>
  <si>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</si>
  <si>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</si>
  <si>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</si>
  <si>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</si>
  <si>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</si>
  <si>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</si>
  <si>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</si>
  <si>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</si>
  <si>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</si>
  <si>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</si>
  <si>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</si>
  <si>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</si>
  <si>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</si>
  <si>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</si>
  <si>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</si>
  <si>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</si>
  <si>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</si>
  <si>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</si>
  <si>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</si>
  <si>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</si>
  <si>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</si>
  <si>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</si>
  <si>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</si>
  <si>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</si>
  <si>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</si>
  <si>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</si>
  <si>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</si>
  <si>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</si>
  <si>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</si>
  <si>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</si>
  <si>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</si>
  <si>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</si>
  <si>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</si>
  <si>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</si>
  <si>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</si>
  <si>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</si>
  <si>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</si>
  <si>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</si>
  <si>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</si>
  <si>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</si>
  <si>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</si>
  <si>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</si>
  <si>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</si>
  <si>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</si>
  <si>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</si>
  <si>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</si>
  <si>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</si>
  <si>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</si>
  <si>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</si>
  <si>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</si>
  <si>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</si>
  <si>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</si>
  <si>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</si>
  <si>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</si>
  <si>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</si>
  <si>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</si>
  <si>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</si>
  <si>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</si>
  <si>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</si>
  <si>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</si>
  <si>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</si>
  <si>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</si>
  <si>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</si>
  <si>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</si>
  <si>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</si>
  <si>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</si>
  <si>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</si>
  <si>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</si>
  <si>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</si>
  <si>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</si>
  <si>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</si>
  <si>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</si>
  <si>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</si>
  <si>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</si>
  <si>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</si>
  <si>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</si>
  <si>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</si>
  <si>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</si>
  <si>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</si>
  <si>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</si>
  <si>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</si>
  <si>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</si>
  <si>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</si>
  <si>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</si>
  <si>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</si>
  <si>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</si>
  <si>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</si>
  <si>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</si>
  <si>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</si>
  <si>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</si>
  <si>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</si>
  <si>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</si>
  <si>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</si>
  <si>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</si>
  <si>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</si>
  <si>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</si>
  <si>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</si>
  <si>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</si>
  <si>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</si>
  <si>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</si>
  <si>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</si>
  <si>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</si>
  <si>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</si>
  <si>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</si>
  <si>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</si>
  <si>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</si>
  <si>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</si>
  <si>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</si>
  <si>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</si>
  <si>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</si>
  <si>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</si>
  <si>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</si>
  <si>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</si>
  <si>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</si>
  <si>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</si>
  <si>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</si>
  <si>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</si>
  <si>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</si>
  <si>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</si>
  <si>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</si>
  <si>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</si>
  <si>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</si>
  <si>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</si>
  <si>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</si>
  <si>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</si>
  <si>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</si>
  <si>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</si>
  <si>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</si>
  <si>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</si>
  <si>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</si>
  <si>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</si>
  <si>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</si>
  <si>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</si>
  <si>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</si>
  <si>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</si>
  <si>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</si>
  <si>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</si>
  <si>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</si>
  <si>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</si>
  <si>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</si>
  <si>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</si>
  <si>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</si>
  <si>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</si>
  <si>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</si>
  <si>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</si>
  <si>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</si>
  <si>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</si>
  <si>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</si>
  <si>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</si>
  <si>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</si>
  <si>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</si>
  <si>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</si>
  <si>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</si>
  <si>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</si>
  <si>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</si>
  <si>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</si>
  <si>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</si>
  <si>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</si>
  <si>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</si>
  <si>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</si>
  <si>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</si>
  <si>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</si>
  <si>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</si>
  <si>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</si>
  <si>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</si>
  <si>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</si>
  <si>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</si>
  <si>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</si>
  <si>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</si>
  <si>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</si>
  <si>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</si>
  <si>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</si>
  <si>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</si>
  <si>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</si>
  <si>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</si>
  <si>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</si>
  <si>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</si>
  <si>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</si>
  <si>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</si>
  <si>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</si>
  <si>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</si>
  <si>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</si>
  <si>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</si>
  <si>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</si>
  <si>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</si>
  <si>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</si>
  <si>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</si>
  <si>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</si>
  <si>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</si>
  <si>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</si>
  <si>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</si>
  <si>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</si>
  <si>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</si>
  <si>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</si>
  <si>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</si>
  <si>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</si>
  <si>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</si>
  <si>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</si>
  <si>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</si>
  <si>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</si>
  <si>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</si>
  <si>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</si>
  <si>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</si>
  <si>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</si>
  <si>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</si>
  <si>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</si>
  <si>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</si>
  <si>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</si>
  <si>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</si>
  <si>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</si>
  <si>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</si>
  <si>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</si>
  <si>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</si>
  <si>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</si>
  <si>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</si>
  <si>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</si>
  <si>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</si>
  <si>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</si>
  <si>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</si>
  <si>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</si>
  <si>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</si>
  <si>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</si>
  <si>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</si>
  <si>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</si>
  <si>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</si>
  <si>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</si>
  <si>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</si>
  <si>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</si>
  <si>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</si>
  <si>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</si>
  <si>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</si>
  <si>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</si>
  <si>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</si>
  <si>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</si>
  <si>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</si>
  <si>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</si>
  <si>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</si>
  <si>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</si>
  <si>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</si>
  <si>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</si>
  <si>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</si>
  <si>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</si>
  <si>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</si>
  <si>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</si>
  <si>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</si>
  <si>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</si>
  <si>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</si>
  <si>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</si>
  <si>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</si>
  <si>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</si>
  <si>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</si>
  <si>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</si>
  <si>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</si>
  <si>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</si>
  <si>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</si>
  <si>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</si>
  <si>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</si>
  <si>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</si>
  <si>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</si>
  <si>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</si>
  <si>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</si>
  <si>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</si>
  <si>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</si>
  <si>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</si>
  <si>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</si>
  <si>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</si>
  <si>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</si>
  <si>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</si>
  <si>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</si>
  <si>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</si>
  <si>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</si>
  <si>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</si>
  <si>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</si>
  <si>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</si>
  <si>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</si>
  <si>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</si>
  <si>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</si>
  <si>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</si>
  <si>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</si>
  <si>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</si>
  <si>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</si>
  <si>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</si>
  <si>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</si>
  <si>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</si>
  <si>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</si>
  <si>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</si>
  <si>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</si>
  <si>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</si>
  <si>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</si>
  <si>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</si>
  <si>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</si>
  <si>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</si>
  <si>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</si>
  <si>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</si>
  <si>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</si>
  <si>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</si>
  <si>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</si>
  <si>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</si>
  <si>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</si>
  <si>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</si>
  <si>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</si>
  <si>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</si>
  <si>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</si>
  <si>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</si>
  <si>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</si>
  <si>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</si>
  <si>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</si>
  <si>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</si>
  <si>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</si>
  <si>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</si>
  <si>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</si>
  <si>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</si>
  <si>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</si>
  <si>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</si>
  <si>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</si>
  <si>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</si>
  <si>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</si>
  <si>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</si>
  <si>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</si>
  <si>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</si>
  <si>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</si>
  <si>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</si>
  <si>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</si>
  <si>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</si>
  <si>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</si>
  <si>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</si>
  <si>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</si>
  <si>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</si>
  <si>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</si>
  <si>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</si>
  <si>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</si>
  <si>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</si>
  <si>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</si>
  <si>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</si>
  <si>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</si>
  <si>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</si>
  <si>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</si>
  <si>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</si>
  <si>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</si>
  <si>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</si>
  <si>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</si>
  <si>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</si>
  <si>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</si>
  <si>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</si>
  <si>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</si>
  <si>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</si>
  <si>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</si>
  <si>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</si>
  <si>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</si>
  <si>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</si>
  <si>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</si>
  <si>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</si>
  <si>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</si>
  <si>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</si>
  <si>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</si>
  <si>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</si>
  <si>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</si>
  <si>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</si>
  <si>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</si>
  <si>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</si>
  <si>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</si>
  <si>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</si>
  <si>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</si>
  <si>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</si>
  <si>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</si>
  <si>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</si>
  <si>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</si>
  <si>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</si>
  <si>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</si>
  <si>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</si>
  <si>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</si>
  <si>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</si>
  <si>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</si>
  <si>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</si>
  <si>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</si>
  <si>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</si>
  <si>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</si>
  <si>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</si>
  <si>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</si>
  <si>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</si>
  <si>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</si>
  <si>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</si>
  <si>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</si>
  <si>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</si>
  <si>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</si>
  <si>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</si>
  <si>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</si>
  <si>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</si>
  <si>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</si>
  <si>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</si>
  <si>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</si>
  <si>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</si>
  <si>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</si>
  <si>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</si>
  <si>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</si>
  <si>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</si>
  <si>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</si>
  <si>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</si>
  <si>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</si>
  <si>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</si>
  <si>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</si>
  <si>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</si>
  <si>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</si>
  <si>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</si>
  <si>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</si>
  <si>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</si>
  <si>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</si>
  <si>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</si>
  <si>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</si>
  <si>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</si>
  <si>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</si>
  <si>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</si>
  <si>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</si>
  <si>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</si>
  <si>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</si>
  <si>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</si>
  <si>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</si>
  <si>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</si>
  <si>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</si>
  <si>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</si>
  <si>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</si>
  <si>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</si>
  <si>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</si>
  <si>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</si>
  <si>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</si>
  <si>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</si>
  <si>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</si>
  <si>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</si>
  <si>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</si>
  <si>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</si>
  <si>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</si>
  <si>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</si>
  <si>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</si>
  <si>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</si>
  <si>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</si>
  <si>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</si>
  <si>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</si>
  <si>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</si>
  <si>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</si>
  <si>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</si>
  <si>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</si>
  <si>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</si>
  <si>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</si>
  <si>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</si>
  <si>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</si>
  <si>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</si>
  <si>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</si>
  <si>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</si>
  <si>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</si>
  <si>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</si>
  <si>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</si>
  <si>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</si>
  <si>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</si>
  <si>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</si>
  <si>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</si>
  <si>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</si>
  <si>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</si>
  <si>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</si>
  <si>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</si>
  <si>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</si>
  <si>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</si>
  <si>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</si>
  <si>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</si>
  <si>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</si>
  <si>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</si>
  <si>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</si>
  <si>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</si>
  <si>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</si>
  <si>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</si>
  <si>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</si>
  <si>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</si>
  <si>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</si>
  <si>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</si>
  <si>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</si>
  <si>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</si>
  <si>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</si>
  <si>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</si>
  <si>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</si>
  <si>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</si>
  <si>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</si>
  <si>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</si>
  <si>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</si>
  <si>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</si>
  <si>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</si>
  <si>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</si>
  <si>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</si>
  <si>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</si>
  <si>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</si>
  <si>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</si>
  <si>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</si>
  <si>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</si>
  <si>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</si>
  <si>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</si>
  <si>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</si>
  <si>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</si>
  <si>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</si>
  <si>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</si>
  <si>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</si>
  <si>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</si>
  <si>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</si>
  <si>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</si>
  <si>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</si>
  <si>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</si>
  <si>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</si>
  <si>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</si>
  <si>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</si>
  <si>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</si>
  <si>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</si>
  <si>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</si>
  <si>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</si>
  <si>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</si>
  <si>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</si>
  <si>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</si>
  <si>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</si>
  <si>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</si>
  <si>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</si>
  <si>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</si>
  <si>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</si>
  <si>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</si>
  <si>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</si>
  <si>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</si>
  <si>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</si>
  <si>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</si>
  <si>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</si>
  <si>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</si>
  <si>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</si>
  <si>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</si>
  <si>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</si>
  <si>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</si>
  <si>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</si>
  <si>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</si>
  <si>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</si>
  <si>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</si>
  <si>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</si>
  <si>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</si>
  <si>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</si>
  <si>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</si>
  <si>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</si>
  <si>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</si>
  <si>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</si>
  <si>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</si>
  <si>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</si>
  <si>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</si>
  <si>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</si>
  <si>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</si>
  <si>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</si>
  <si>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</si>
  <si>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</si>
  <si>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</si>
  <si>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</si>
  <si>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</si>
  <si>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</si>
  <si>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</si>
  <si>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</si>
  <si>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</si>
  <si>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</si>
  <si>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</si>
  <si>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</si>
  <si>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</si>
  <si>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</si>
  <si>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</si>
  <si>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</si>
  <si>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</si>
  <si>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</si>
  <si>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</si>
  <si>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</si>
  <si>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</si>
  <si>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</si>
  <si>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</si>
  <si>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</si>
  <si>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</si>
  <si>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</si>
  <si>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</si>
  <si>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</si>
  <si>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</si>
  <si>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</si>
  <si>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</si>
  <si>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</si>
  <si>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</si>
  <si>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</si>
  <si>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</si>
  <si>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</si>
  <si>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</si>
  <si>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</si>
  <si>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</si>
  <si>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</si>
  <si>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</si>
  <si>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</si>
  <si>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</si>
  <si>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</si>
  <si>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</si>
  <si>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</si>
  <si>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</si>
  <si>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</si>
  <si>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</si>
  <si>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</si>
  <si>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</si>
  <si>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</si>
  <si>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</si>
  <si>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</si>
  <si>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</si>
  <si>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</si>
  <si>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</si>
  <si>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</si>
  <si>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</si>
  <si>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</si>
  <si>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</si>
  <si>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</si>
  <si>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</si>
  <si>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</si>
  <si>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</si>
  <si>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</si>
  <si>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</si>
  <si>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</si>
  <si>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</si>
  <si>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</si>
  <si>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</si>
  <si>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</si>
  <si>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</si>
  <si>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</si>
  <si>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</si>
  <si>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</si>
  <si>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</si>
  <si>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</si>
  <si>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</si>
  <si>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</si>
  <si>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</si>
  <si>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</si>
  <si>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</si>
  <si>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</si>
  <si>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</si>
  <si>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</si>
  <si>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</si>
  <si>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</si>
  <si>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</si>
  <si>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</si>
  <si>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</si>
  <si>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</si>
  <si>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</si>
  <si>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</si>
  <si>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</si>
  <si>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</si>
  <si>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</si>
  <si>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</si>
  <si>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</si>
  <si>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</si>
  <si>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</si>
  <si>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</si>
  <si>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</si>
  <si>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</si>
  <si>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</si>
  <si>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</si>
  <si>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</si>
  <si>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</si>
  <si>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</si>
  <si>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</si>
  <si>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</si>
  <si>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</si>
  <si>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</si>
  <si>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</si>
  <si>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</si>
  <si>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</si>
  <si>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</si>
  <si>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</si>
  <si>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</si>
  <si>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</si>
  <si>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</si>
  <si>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</si>
  <si>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</si>
  <si>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</si>
  <si>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</si>
  <si>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</si>
  <si>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</si>
  <si>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</si>
  <si>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</si>
  <si>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</si>
  <si>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</si>
  <si>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</si>
  <si>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</si>
  <si>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</si>
  <si>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</si>
  <si>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</si>
  <si>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</si>
  <si>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</si>
  <si>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</si>
  <si>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</si>
  <si>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</si>
  <si>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</si>
  <si>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</si>
  <si>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</si>
  <si>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</si>
  <si>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</si>
  <si>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</si>
  <si>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</si>
  <si>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</si>
  <si>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</si>
  <si>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وغدیر 5492 تا 190.3 ( انتقالی از حساب داریوش)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</si>
  <si>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</si>
  <si>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</si>
  <si>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</si>
  <si>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</si>
  <si>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</si>
  <si>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</si>
  <si>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</si>
  <si>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</si>
  <si>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</si>
  <si>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</si>
  <si>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</si>
  <si>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</si>
  <si>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</si>
  <si>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</si>
  <si>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</si>
  <si>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</si>
  <si>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</si>
  <si>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</si>
  <si>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</si>
  <si>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</si>
  <si>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</si>
  <si>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</si>
  <si>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</si>
  <si>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</si>
  <si>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</si>
  <si>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</si>
  <si>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</si>
  <si>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</si>
  <si>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</si>
  <si>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</si>
  <si>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</si>
  <si>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</si>
  <si>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</si>
  <si>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</si>
  <si>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</si>
  <si>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</si>
  <si>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</si>
  <si>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</si>
  <si>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</si>
  <si>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</si>
  <si>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</si>
  <si>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</si>
  <si>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</si>
  <si>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</si>
  <si>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</si>
  <si>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</si>
  <si>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</si>
  <si>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</si>
  <si>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</si>
  <si>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</si>
  <si>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</si>
  <si>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</si>
  <si>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</si>
  <si>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</si>
  <si>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</si>
  <si>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</si>
  <si>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</si>
  <si>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</si>
  <si>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</si>
  <si>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</si>
  <si>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</si>
  <si>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</si>
  <si>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</si>
  <si>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</si>
  <si>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</si>
  <si>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</si>
  <si>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</si>
  <si>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</si>
  <si>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</si>
  <si>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</si>
  <si>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</si>
  <si>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</si>
  <si>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</si>
  <si>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</si>
  <si>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</si>
  <si>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</si>
  <si>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</si>
  <si>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</si>
  <si>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</si>
  <si>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</si>
  <si>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 xml:space="preserve"> شسپا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</si>
  <si>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</si>
  <si>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</si>
  <si>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</si>
  <si>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</si>
  <si>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</si>
  <si>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</si>
  <si>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</si>
  <si>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</si>
  <si>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</si>
  <si>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</si>
  <si>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</si>
  <si>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</si>
  <si>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</si>
  <si>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</si>
  <si>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</si>
  <si>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</si>
  <si>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</si>
  <si>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</si>
  <si>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</si>
  <si>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</si>
  <si>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فروش 5 عدد سکه 8/10/97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</si>
  <si>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</si>
  <si>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</si>
  <si>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</si>
  <si>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</si>
  <si>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</si>
  <si>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</si>
  <si>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</si>
  <si>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</si>
  <si>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شخارک 29 تا 3544.7 (تشویقی)</t>
  </si>
  <si>
    <t>شسپا 40 تا 2564 (تشویقی)</t>
  </si>
  <si>
    <t>وبانک 556 تا 286 (تشویقی)</t>
  </si>
  <si>
    <t>وتوسم 63 تا 180.8 (تشویقی)</t>
  </si>
  <si>
    <t>وبانک 597 تا 287 (تشویقی)</t>
  </si>
  <si>
    <t>شغدیر 197 تا 508 (تشویقی)</t>
  </si>
  <si>
    <t>پارس 432 تا 3237.1</t>
  </si>
  <si>
    <t>وبانک 8196 تا 284.7</t>
  </si>
  <si>
    <t>وغدیر 9 تا 165.7</t>
  </si>
  <si>
    <t>مستقیم</t>
  </si>
  <si>
    <t>معکوس</t>
  </si>
  <si>
    <t>درصد</t>
  </si>
  <si>
    <t>کامل کردن برنامه نسبتی</t>
  </si>
  <si>
    <t>11/10/1397</t>
  </si>
  <si>
    <t>شغدیر 206 تا 488 (تشویقی)</t>
  </si>
  <si>
    <t>وغدیر 6000 تا 170.1</t>
  </si>
  <si>
    <t>پردیس و گوهران</t>
  </si>
  <si>
    <t>12/10/1397</t>
  </si>
  <si>
    <t>گوهران</t>
  </si>
  <si>
    <t>174.0-191.5</t>
  </si>
  <si>
    <t>مجموع خرید 5 عدد اولیه</t>
  </si>
  <si>
    <t>خرید 1 عدد 12/10/97</t>
  </si>
  <si>
    <t>سکه9912 تعداد 10 فی 396530</t>
  </si>
  <si>
    <t>وغدیر 7294 تا 169.3</t>
  </si>
  <si>
    <t>شاراک 2431 تا 4418</t>
  </si>
  <si>
    <t xml:space="preserve">15/10/1397 </t>
  </si>
  <si>
    <t>16/10/1397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</si>
</sst>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4608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19" sqref="F19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4576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4576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4580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4580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4587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4587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4592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4597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4597</v>
      </c>
      <c r="B11" s="18">
        <v>-1287000</v>
      </c>
      <c r="C11" s="18">
        <v>0</v>
      </c>
      <c r="D11" s="113">
        <f t="shared" si="0"/>
        <v>-1287000</v>
      </c>
      <c r="E11" s="19" t="s">
        <v>4598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4592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4594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4608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4624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4628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4515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4515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4515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4519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4528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4529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4529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4529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4533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4548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4548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4548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25234365</v>
      </c>
      <c r="C32" s="113">
        <f>SUM(C2:C31)</f>
        <v>0</v>
      </c>
      <c r="D32" s="113">
        <f>SUM(D2:D31)</f>
        <v>25234365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585427340</v>
      </c>
      <c r="H33" s="18">
        <f>SUM(H2:H31)</f>
        <v>0</v>
      </c>
      <c r="I33" s="18">
        <f>SUM(I2:I31)</f>
        <v>585427340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4609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1161703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pane ySplit="1" topLeftCell="A263" activePane="bottomLeft" state="frozen"/>
      <selection pane="bottomLeft" activeCell="F282" sqref="F28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998</v>
      </c>
      <c r="H2" s="36">
        <f>IF(B2&gt;0,1,0)</f>
        <v>1</v>
      </c>
      <c r="I2" s="11">
        <f>B2*(G2-H2)</f>
        <v>16649900</v>
      </c>
      <c r="J2" s="53">
        <f>C2*(G2-H2)</f>
        <v>16649900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997</v>
      </c>
      <c r="H3" s="36">
        <f t="shared" ref="H3:H66" si="2">IF(B3&gt;0,1,0)</f>
        <v>1</v>
      </c>
      <c r="I3" s="11">
        <f t="shared" ref="I3:I66" si="3">B3*(G3-H3)</f>
        <v>19820400000</v>
      </c>
      <c r="J3" s="53">
        <f t="shared" ref="J3:J66" si="4">C3*(G3-H3)</f>
        <v>11341452000</v>
      </c>
      <c r="K3" s="53">
        <f t="shared" ref="K3:K66" si="5">D3*(G3-H3)</f>
        <v>8478948000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997</v>
      </c>
      <c r="H4" s="36">
        <f t="shared" si="2"/>
        <v>0</v>
      </c>
      <c r="I4" s="11">
        <f t="shared" si="3"/>
        <v>0</v>
      </c>
      <c r="J4" s="53">
        <f t="shared" si="4"/>
        <v>8474500</v>
      </c>
      <c r="K4" s="53">
        <f t="shared" si="5"/>
        <v>-8474500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995</v>
      </c>
      <c r="H5" s="36">
        <f t="shared" si="2"/>
        <v>1</v>
      </c>
      <c r="I5" s="11">
        <f t="shared" si="3"/>
        <v>1988000000</v>
      </c>
      <c r="J5" s="53">
        <f t="shared" si="4"/>
        <v>0</v>
      </c>
      <c r="K5" s="53">
        <f t="shared" si="5"/>
        <v>1988000000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988</v>
      </c>
      <c r="H6" s="36">
        <f t="shared" si="2"/>
        <v>0</v>
      </c>
      <c r="I6" s="11">
        <f t="shared" si="3"/>
        <v>-4940000</v>
      </c>
      <c r="J6" s="53">
        <f t="shared" si="4"/>
        <v>0</v>
      </c>
      <c r="K6" s="53">
        <f t="shared" si="5"/>
        <v>-4940000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984</v>
      </c>
      <c r="H7" s="36">
        <f t="shared" si="2"/>
        <v>0</v>
      </c>
      <c r="I7" s="11">
        <f t="shared" si="3"/>
        <v>-1181292000</v>
      </c>
      <c r="J7" s="53">
        <f t="shared" si="4"/>
        <v>0</v>
      </c>
      <c r="K7" s="53">
        <f t="shared" si="5"/>
        <v>-1181292000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983</v>
      </c>
      <c r="H8" s="36">
        <f t="shared" si="2"/>
        <v>0</v>
      </c>
      <c r="I8" s="11">
        <f t="shared" si="3"/>
        <v>-196600000</v>
      </c>
      <c r="J8" s="53">
        <f t="shared" si="4"/>
        <v>0</v>
      </c>
      <c r="K8" s="53">
        <f t="shared" si="5"/>
        <v>-196600000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981</v>
      </c>
      <c r="H9" s="36">
        <f t="shared" si="2"/>
        <v>0</v>
      </c>
      <c r="I9" s="11">
        <f t="shared" si="3"/>
        <v>-692095500</v>
      </c>
      <c r="J9" s="53">
        <f t="shared" si="4"/>
        <v>0</v>
      </c>
      <c r="K9" s="53">
        <f t="shared" si="5"/>
        <v>-692095500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972</v>
      </c>
      <c r="H10" s="36">
        <f t="shared" si="2"/>
        <v>0</v>
      </c>
      <c r="I10" s="11">
        <f t="shared" si="3"/>
        <v>-194400000</v>
      </c>
      <c r="J10" s="53">
        <f t="shared" si="4"/>
        <v>0</v>
      </c>
      <c r="K10" s="53">
        <f t="shared" si="5"/>
        <v>-194400000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972</v>
      </c>
      <c r="H11" s="36">
        <f t="shared" si="2"/>
        <v>1</v>
      </c>
      <c r="I11" s="11">
        <f t="shared" si="3"/>
        <v>971000000</v>
      </c>
      <c r="J11" s="53">
        <f t="shared" si="4"/>
        <v>0</v>
      </c>
      <c r="K11" s="53">
        <f t="shared" si="5"/>
        <v>971000000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968</v>
      </c>
      <c r="H12" s="36">
        <f t="shared" si="2"/>
        <v>0</v>
      </c>
      <c r="I12" s="11">
        <f t="shared" si="3"/>
        <v>-290400000</v>
      </c>
      <c r="J12" s="53">
        <f t="shared" si="4"/>
        <v>0</v>
      </c>
      <c r="K12" s="53">
        <f t="shared" si="5"/>
        <v>-290400000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963</v>
      </c>
      <c r="H13" s="36">
        <f t="shared" si="2"/>
        <v>0</v>
      </c>
      <c r="I13" s="11">
        <f t="shared" si="3"/>
        <v>-59706000</v>
      </c>
      <c r="J13" s="53">
        <f t="shared" si="4"/>
        <v>0</v>
      </c>
      <c r="K13" s="53">
        <f t="shared" si="5"/>
        <v>-59706000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963</v>
      </c>
      <c r="H14" s="36">
        <f t="shared" si="2"/>
        <v>1</v>
      </c>
      <c r="I14" s="11">
        <f t="shared" si="3"/>
        <v>1924000000</v>
      </c>
      <c r="J14" s="53">
        <f t="shared" si="4"/>
        <v>0</v>
      </c>
      <c r="K14" s="53">
        <f t="shared" si="5"/>
        <v>1924000000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962</v>
      </c>
      <c r="H15" s="36">
        <f t="shared" si="2"/>
        <v>1</v>
      </c>
      <c r="I15" s="11">
        <f t="shared" si="3"/>
        <v>1729800000</v>
      </c>
      <c r="J15" s="53">
        <f t="shared" si="4"/>
        <v>0</v>
      </c>
      <c r="K15" s="53">
        <f t="shared" si="5"/>
        <v>1729800000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962</v>
      </c>
      <c r="H16" s="36">
        <f t="shared" si="2"/>
        <v>0</v>
      </c>
      <c r="I16" s="11">
        <f t="shared" si="3"/>
        <v>-192400000</v>
      </c>
      <c r="J16" s="53">
        <f t="shared" si="4"/>
        <v>0</v>
      </c>
      <c r="K16" s="53">
        <f t="shared" si="5"/>
        <v>-192400000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958</v>
      </c>
      <c r="H17" s="36">
        <f t="shared" si="2"/>
        <v>0</v>
      </c>
      <c r="I17" s="11">
        <f t="shared" si="3"/>
        <v>-1916000000</v>
      </c>
      <c r="J17" s="53">
        <f t="shared" si="4"/>
        <v>0</v>
      </c>
      <c r="K17" s="53">
        <f t="shared" si="5"/>
        <v>-1916000000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957</v>
      </c>
      <c r="H18" s="36">
        <f t="shared" si="2"/>
        <v>0</v>
      </c>
      <c r="I18" s="11">
        <f t="shared" si="3"/>
        <v>-287100000</v>
      </c>
      <c r="J18" s="53">
        <f t="shared" si="4"/>
        <v>0</v>
      </c>
      <c r="K18" s="53">
        <f t="shared" si="5"/>
        <v>-287100000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956</v>
      </c>
      <c r="H19" s="36">
        <f t="shared" si="2"/>
        <v>0</v>
      </c>
      <c r="I19" s="11">
        <f t="shared" si="3"/>
        <v>-191200000</v>
      </c>
      <c r="J19" s="53">
        <f t="shared" si="4"/>
        <v>0</v>
      </c>
      <c r="K19" s="53">
        <f t="shared" si="5"/>
        <v>-191200000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954</v>
      </c>
      <c r="H20" s="36">
        <f t="shared" si="2"/>
        <v>1</v>
      </c>
      <c r="I20" s="11">
        <f t="shared" si="3"/>
        <v>258347817</v>
      </c>
      <c r="J20" s="53">
        <f t="shared" si="4"/>
        <v>140521756</v>
      </c>
      <c r="K20" s="53">
        <f t="shared" si="5"/>
        <v>117826061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952</v>
      </c>
      <c r="H21" s="36">
        <f t="shared" si="2"/>
        <v>0</v>
      </c>
      <c r="I21" s="11">
        <f t="shared" si="3"/>
        <v>-1433426400</v>
      </c>
      <c r="J21" s="53">
        <f t="shared" si="4"/>
        <v>0</v>
      </c>
      <c r="K21" s="53">
        <f t="shared" si="5"/>
        <v>-1433426400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949</v>
      </c>
      <c r="H22" s="36">
        <f t="shared" si="2"/>
        <v>1</v>
      </c>
      <c r="I22" s="11">
        <f t="shared" si="3"/>
        <v>2844000000</v>
      </c>
      <c r="J22" s="53">
        <f t="shared" si="4"/>
        <v>0</v>
      </c>
      <c r="K22" s="53">
        <f t="shared" si="5"/>
        <v>2844000000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948</v>
      </c>
      <c r="H23" s="36">
        <f t="shared" si="2"/>
        <v>1</v>
      </c>
      <c r="I23" s="11">
        <f t="shared" si="3"/>
        <v>947000000</v>
      </c>
      <c r="J23" s="53">
        <f t="shared" si="4"/>
        <v>0</v>
      </c>
      <c r="K23" s="53">
        <f t="shared" si="5"/>
        <v>947000000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947</v>
      </c>
      <c r="H24" s="36">
        <f t="shared" si="2"/>
        <v>0</v>
      </c>
      <c r="I24" s="11">
        <f t="shared" si="3"/>
        <v>-2841852300</v>
      </c>
      <c r="J24" s="53">
        <f t="shared" si="4"/>
        <v>0</v>
      </c>
      <c r="K24" s="53">
        <f t="shared" si="5"/>
        <v>-2841852300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932</v>
      </c>
      <c r="H25" s="36">
        <f t="shared" si="2"/>
        <v>1</v>
      </c>
      <c r="I25" s="11">
        <f t="shared" si="3"/>
        <v>1396500000</v>
      </c>
      <c r="J25" s="53">
        <f t="shared" si="4"/>
        <v>0</v>
      </c>
      <c r="K25" s="53">
        <f t="shared" si="5"/>
        <v>1396500000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924</v>
      </c>
      <c r="H26" s="36">
        <f t="shared" si="2"/>
        <v>0</v>
      </c>
      <c r="I26" s="11">
        <f t="shared" si="3"/>
        <v>-151536000</v>
      </c>
      <c r="J26" s="53">
        <f t="shared" si="4"/>
        <v>0</v>
      </c>
      <c r="K26" s="53">
        <f t="shared" si="5"/>
        <v>-151536000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923</v>
      </c>
      <c r="H27" s="36">
        <f t="shared" si="2"/>
        <v>1</v>
      </c>
      <c r="I27" s="11">
        <f t="shared" si="3"/>
        <v>183840346</v>
      </c>
      <c r="J27" s="53">
        <f t="shared" si="4"/>
        <v>99034786</v>
      </c>
      <c r="K27" s="53">
        <f t="shared" si="5"/>
        <v>84805560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921</v>
      </c>
      <c r="H28" s="36">
        <f t="shared" si="2"/>
        <v>0</v>
      </c>
      <c r="I28" s="11">
        <f t="shared" si="3"/>
        <v>-203541000</v>
      </c>
      <c r="J28" s="53">
        <f t="shared" si="4"/>
        <v>-203541000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921</v>
      </c>
      <c r="H29" s="36">
        <f t="shared" si="2"/>
        <v>0</v>
      </c>
      <c r="I29" s="11">
        <f t="shared" si="3"/>
        <v>-460960500</v>
      </c>
      <c r="J29" s="53">
        <f t="shared" si="4"/>
        <v>0</v>
      </c>
      <c r="K29" s="53">
        <f t="shared" si="5"/>
        <v>-460960500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921</v>
      </c>
      <c r="H30" s="36">
        <f t="shared" si="2"/>
        <v>0</v>
      </c>
      <c r="I30" s="11">
        <f t="shared" si="3"/>
        <v>-13815000000</v>
      </c>
      <c r="J30" s="53">
        <f t="shared" si="4"/>
        <v>-13815000000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904</v>
      </c>
      <c r="H31" s="36">
        <f t="shared" si="2"/>
        <v>0</v>
      </c>
      <c r="I31" s="11">
        <f t="shared" si="3"/>
        <v>-2721853600</v>
      </c>
      <c r="J31" s="53">
        <f t="shared" si="4"/>
        <v>0</v>
      </c>
      <c r="K31" s="53">
        <f t="shared" si="5"/>
        <v>-2721853600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902</v>
      </c>
      <c r="H32" s="36">
        <f t="shared" si="2"/>
        <v>0</v>
      </c>
      <c r="I32" s="11">
        <f t="shared" si="3"/>
        <v>-2711321800</v>
      </c>
      <c r="J32" s="53">
        <f t="shared" si="4"/>
        <v>0</v>
      </c>
      <c r="K32" s="53">
        <f t="shared" si="5"/>
        <v>-2711321800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901</v>
      </c>
      <c r="H33" s="36">
        <f t="shared" si="2"/>
        <v>0</v>
      </c>
      <c r="I33" s="11">
        <f t="shared" si="3"/>
        <v>-806845500</v>
      </c>
      <c r="J33" s="53">
        <f t="shared" si="4"/>
        <v>0</v>
      </c>
      <c r="K33" s="53">
        <f t="shared" si="5"/>
        <v>-806845500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901</v>
      </c>
      <c r="H34" s="36">
        <f t="shared" si="2"/>
        <v>0</v>
      </c>
      <c r="I34" s="11">
        <f t="shared" si="3"/>
        <v>0</v>
      </c>
      <c r="J34" s="53">
        <f t="shared" si="4"/>
        <v>901000000</v>
      </c>
      <c r="K34" s="53">
        <f t="shared" si="5"/>
        <v>-901000000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892</v>
      </c>
      <c r="H35" s="36">
        <f t="shared" si="2"/>
        <v>1</v>
      </c>
      <c r="I35" s="11">
        <f t="shared" si="3"/>
        <v>46752552</v>
      </c>
      <c r="J35" s="53">
        <f t="shared" si="4"/>
        <v>-19301733</v>
      </c>
      <c r="K35" s="53">
        <f t="shared" si="5"/>
        <v>66054285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892</v>
      </c>
      <c r="H36" s="36">
        <f t="shared" si="2"/>
        <v>0</v>
      </c>
      <c r="I36" s="11">
        <f t="shared" si="3"/>
        <v>0</v>
      </c>
      <c r="J36" s="53">
        <f t="shared" si="4"/>
        <v>19323396</v>
      </c>
      <c r="K36" s="53">
        <f t="shared" si="5"/>
        <v>-19323396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882</v>
      </c>
      <c r="H37" s="36">
        <f t="shared" si="2"/>
        <v>0</v>
      </c>
      <c r="I37" s="11">
        <f t="shared" si="3"/>
        <v>-48510000</v>
      </c>
      <c r="J37" s="53">
        <f t="shared" si="4"/>
        <v>0</v>
      </c>
      <c r="K37" s="53">
        <f t="shared" si="5"/>
        <v>-48510000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881</v>
      </c>
      <c r="H38" s="36">
        <f t="shared" si="2"/>
        <v>1</v>
      </c>
      <c r="I38" s="11">
        <f t="shared" si="3"/>
        <v>2640000000</v>
      </c>
      <c r="J38" s="53">
        <f t="shared" si="4"/>
        <v>2640000000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880</v>
      </c>
      <c r="H39" s="36">
        <f t="shared" si="2"/>
        <v>1</v>
      </c>
      <c r="I39" s="11">
        <f t="shared" si="3"/>
        <v>2197500000</v>
      </c>
      <c r="J39" s="53">
        <f t="shared" si="4"/>
        <v>2197500000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880</v>
      </c>
      <c r="H40" s="36">
        <f t="shared" si="2"/>
        <v>0</v>
      </c>
      <c r="I40" s="11">
        <f t="shared" si="3"/>
        <v>-44000000</v>
      </c>
      <c r="J40" s="53">
        <f t="shared" si="4"/>
        <v>0</v>
      </c>
      <c r="K40" s="53">
        <f t="shared" si="5"/>
        <v>-44000000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880</v>
      </c>
      <c r="H41" s="36">
        <f t="shared" si="2"/>
        <v>1</v>
      </c>
      <c r="I41" s="11">
        <f t="shared" si="3"/>
        <v>2637000000</v>
      </c>
      <c r="J41" s="53">
        <f t="shared" si="4"/>
        <v>0</v>
      </c>
      <c r="K41" s="53">
        <f t="shared" si="5"/>
        <v>2637000000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877</v>
      </c>
      <c r="H42" s="36">
        <f t="shared" si="2"/>
        <v>0</v>
      </c>
      <c r="I42" s="11">
        <f t="shared" si="3"/>
        <v>-78228400</v>
      </c>
      <c r="J42" s="53">
        <f t="shared" si="4"/>
        <v>0</v>
      </c>
      <c r="K42" s="53">
        <f t="shared" si="5"/>
        <v>-78228400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873</v>
      </c>
      <c r="H43" s="36">
        <f t="shared" si="2"/>
        <v>0</v>
      </c>
      <c r="I43" s="11">
        <f t="shared" si="3"/>
        <v>-174600000</v>
      </c>
      <c r="J43" s="53">
        <f t="shared" si="4"/>
        <v>0</v>
      </c>
      <c r="K43" s="53">
        <f t="shared" si="5"/>
        <v>-174600000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871</v>
      </c>
      <c r="H44" s="36">
        <f t="shared" si="2"/>
        <v>0</v>
      </c>
      <c r="I44" s="11">
        <f t="shared" si="3"/>
        <v>-174200000</v>
      </c>
      <c r="J44" s="53">
        <f t="shared" si="4"/>
        <v>0</v>
      </c>
      <c r="K44" s="53">
        <f t="shared" si="5"/>
        <v>-174200000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871</v>
      </c>
      <c r="H45" s="36">
        <f t="shared" si="2"/>
        <v>0</v>
      </c>
      <c r="I45" s="11">
        <f t="shared" si="3"/>
        <v>-487760000</v>
      </c>
      <c r="J45" s="53">
        <f t="shared" si="4"/>
        <v>0</v>
      </c>
      <c r="K45" s="53">
        <f t="shared" si="5"/>
        <v>-487760000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867</v>
      </c>
      <c r="H46" s="36">
        <f t="shared" si="2"/>
        <v>0</v>
      </c>
      <c r="I46" s="11">
        <f t="shared" si="3"/>
        <v>-611668500</v>
      </c>
      <c r="J46" s="53">
        <f t="shared" si="4"/>
        <v>0</v>
      </c>
      <c r="K46" s="53">
        <f t="shared" si="5"/>
        <v>-611668500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861</v>
      </c>
      <c r="H47" s="36">
        <f t="shared" si="2"/>
        <v>1</v>
      </c>
      <c r="I47" s="11">
        <f t="shared" si="3"/>
        <v>35435440</v>
      </c>
      <c r="J47" s="53">
        <f t="shared" si="4"/>
        <v>5773180</v>
      </c>
      <c r="K47" s="53">
        <f t="shared" si="5"/>
        <v>29662260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861</v>
      </c>
      <c r="H48" s="36">
        <f t="shared" si="2"/>
        <v>1</v>
      </c>
      <c r="I48" s="11">
        <f t="shared" si="3"/>
        <v>1466042000</v>
      </c>
      <c r="J48" s="53">
        <f t="shared" si="4"/>
        <v>0</v>
      </c>
      <c r="K48" s="53">
        <f t="shared" si="5"/>
        <v>1466042000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852</v>
      </c>
      <c r="H49" s="36">
        <f t="shared" si="2"/>
        <v>0</v>
      </c>
      <c r="I49" s="11">
        <f t="shared" si="3"/>
        <v>-132060000</v>
      </c>
      <c r="J49" s="53">
        <f t="shared" si="4"/>
        <v>0</v>
      </c>
      <c r="K49" s="53">
        <f t="shared" si="5"/>
        <v>-132060000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852</v>
      </c>
      <c r="H50" s="36">
        <f t="shared" si="2"/>
        <v>0</v>
      </c>
      <c r="I50" s="11">
        <f t="shared" si="3"/>
        <v>-117576000</v>
      </c>
      <c r="J50" s="53">
        <f t="shared" si="4"/>
        <v>0</v>
      </c>
      <c r="K50" s="53">
        <f t="shared" si="5"/>
        <v>-117576000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852</v>
      </c>
      <c r="H51" s="36">
        <f t="shared" si="2"/>
        <v>0</v>
      </c>
      <c r="I51" s="11">
        <f t="shared" si="3"/>
        <v>-630480000</v>
      </c>
      <c r="J51" s="53">
        <f t="shared" si="4"/>
        <v>0</v>
      </c>
      <c r="K51" s="53">
        <f t="shared" si="5"/>
        <v>-630480000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852</v>
      </c>
      <c r="H52" s="36">
        <f t="shared" si="2"/>
        <v>0</v>
      </c>
      <c r="I52" s="11">
        <f t="shared" si="3"/>
        <v>-170400000</v>
      </c>
      <c r="J52" s="53">
        <f t="shared" si="4"/>
        <v>0</v>
      </c>
      <c r="K52" s="53">
        <f t="shared" si="5"/>
        <v>-170400000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851</v>
      </c>
      <c r="H53" s="36">
        <f t="shared" si="2"/>
        <v>0</v>
      </c>
      <c r="I53" s="11">
        <f t="shared" si="3"/>
        <v>-897805000</v>
      </c>
      <c r="J53" s="53">
        <f t="shared" si="4"/>
        <v>0</v>
      </c>
      <c r="K53" s="53">
        <f t="shared" si="5"/>
        <v>-897805000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851</v>
      </c>
      <c r="H54" s="36">
        <f t="shared" si="2"/>
        <v>0</v>
      </c>
      <c r="I54" s="11">
        <f t="shared" si="3"/>
        <v>-170200000</v>
      </c>
      <c r="J54" s="53">
        <f t="shared" si="4"/>
        <v>0</v>
      </c>
      <c r="K54" s="53">
        <f t="shared" si="5"/>
        <v>-170200000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851</v>
      </c>
      <c r="H55" s="36">
        <f t="shared" si="2"/>
        <v>0</v>
      </c>
      <c r="I55" s="11">
        <f t="shared" si="3"/>
        <v>-851425500</v>
      </c>
      <c r="J55" s="53">
        <f t="shared" si="4"/>
        <v>0</v>
      </c>
      <c r="K55" s="53">
        <f t="shared" si="5"/>
        <v>-851425500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851</v>
      </c>
      <c r="H56" s="36">
        <f t="shared" si="2"/>
        <v>0</v>
      </c>
      <c r="I56" s="11">
        <f t="shared" si="3"/>
        <v>-32338000</v>
      </c>
      <c r="J56" s="53">
        <f t="shared" si="4"/>
        <v>0</v>
      </c>
      <c r="K56" s="53">
        <f t="shared" si="5"/>
        <v>-32338000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851</v>
      </c>
      <c r="H57" s="36">
        <f t="shared" si="2"/>
        <v>0</v>
      </c>
      <c r="I57" s="11">
        <f t="shared" si="3"/>
        <v>-89355000</v>
      </c>
      <c r="J57" s="53">
        <f t="shared" si="4"/>
        <v>0</v>
      </c>
      <c r="K57" s="53">
        <f t="shared" si="5"/>
        <v>-89355000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851</v>
      </c>
      <c r="H58" s="36">
        <f t="shared" si="2"/>
        <v>0</v>
      </c>
      <c r="I58" s="11">
        <f t="shared" si="3"/>
        <v>-51060000</v>
      </c>
      <c r="J58" s="53">
        <f t="shared" si="4"/>
        <v>0</v>
      </c>
      <c r="K58" s="53">
        <f t="shared" si="5"/>
        <v>-51060000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848</v>
      </c>
      <c r="H59" s="36">
        <f t="shared" si="2"/>
        <v>1</v>
      </c>
      <c r="I59" s="11">
        <f t="shared" si="3"/>
        <v>847000000</v>
      </c>
      <c r="J59" s="53">
        <f t="shared" si="4"/>
        <v>847000000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847</v>
      </c>
      <c r="H60" s="36">
        <f t="shared" si="2"/>
        <v>1</v>
      </c>
      <c r="I60" s="11">
        <f t="shared" si="3"/>
        <v>2961000000</v>
      </c>
      <c r="J60" s="53">
        <f t="shared" si="4"/>
        <v>2961000000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845</v>
      </c>
      <c r="H61" s="36">
        <f t="shared" si="2"/>
        <v>1</v>
      </c>
      <c r="I61" s="11">
        <f t="shared" si="3"/>
        <v>844000000</v>
      </c>
      <c r="J61" s="53">
        <f t="shared" si="4"/>
        <v>844000000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845</v>
      </c>
      <c r="H62" s="36">
        <f t="shared" si="2"/>
        <v>1</v>
      </c>
      <c r="I62" s="11">
        <f t="shared" si="3"/>
        <v>2532000000</v>
      </c>
      <c r="J62" s="53">
        <f t="shared" si="4"/>
        <v>2532000000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843</v>
      </c>
      <c r="H63" s="36">
        <f t="shared" si="2"/>
        <v>0</v>
      </c>
      <c r="I63" s="11">
        <f t="shared" si="3"/>
        <v>-168600000</v>
      </c>
      <c r="J63" s="53">
        <f t="shared" si="4"/>
        <v>0</v>
      </c>
      <c r="K63" s="53">
        <f t="shared" si="5"/>
        <v>-168600000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838</v>
      </c>
      <c r="H64" s="36">
        <f t="shared" si="2"/>
        <v>0</v>
      </c>
      <c r="I64" s="11">
        <f t="shared" si="3"/>
        <v>-41900000</v>
      </c>
      <c r="J64" s="53">
        <f t="shared" si="4"/>
        <v>0</v>
      </c>
      <c r="K64" s="53">
        <f t="shared" si="5"/>
        <v>-41900000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834</v>
      </c>
      <c r="H65" s="36">
        <f t="shared" si="2"/>
        <v>0</v>
      </c>
      <c r="I65" s="11">
        <f t="shared" si="3"/>
        <v>-166800000</v>
      </c>
      <c r="J65" s="53">
        <f t="shared" si="4"/>
        <v>0</v>
      </c>
      <c r="K65" s="53">
        <f t="shared" si="5"/>
        <v>-166800000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831</v>
      </c>
      <c r="H66" s="36">
        <f t="shared" si="2"/>
        <v>0</v>
      </c>
      <c r="I66" s="11">
        <f t="shared" si="3"/>
        <v>-141270000</v>
      </c>
      <c r="J66" s="53">
        <f t="shared" si="4"/>
        <v>0</v>
      </c>
      <c r="K66" s="53">
        <f t="shared" si="5"/>
        <v>-141270000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830</v>
      </c>
      <c r="H67" s="36">
        <f t="shared" ref="H67:H131" si="8">IF(B67&gt;0,1,0)</f>
        <v>1</v>
      </c>
      <c r="I67" s="11">
        <f t="shared" ref="I67:I119" si="9">B67*(G67-H67)</f>
        <v>75708425</v>
      </c>
      <c r="J67" s="53">
        <f t="shared" ref="J67:J131" si="10">C67*(G67-H67)</f>
        <v>54484367</v>
      </c>
      <c r="K67" s="53">
        <f t="shared" ref="K67:K131" si="11">D67*(G67-H67)</f>
        <v>21224058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812</v>
      </c>
      <c r="H68" s="36">
        <f t="shared" si="8"/>
        <v>0</v>
      </c>
      <c r="I68" s="11">
        <f t="shared" si="9"/>
        <v>-117740000</v>
      </c>
      <c r="J68" s="53">
        <f t="shared" si="10"/>
        <v>0</v>
      </c>
      <c r="K68" s="53">
        <f t="shared" si="11"/>
        <v>-117740000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805</v>
      </c>
      <c r="H69" s="36">
        <f t="shared" si="8"/>
        <v>1</v>
      </c>
      <c r="I69" s="11">
        <f t="shared" si="9"/>
        <v>787920000</v>
      </c>
      <c r="J69" s="53">
        <f t="shared" si="10"/>
        <v>0</v>
      </c>
      <c r="K69" s="53">
        <f t="shared" si="11"/>
        <v>787920000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802</v>
      </c>
      <c r="H70" s="36">
        <f t="shared" si="8"/>
        <v>0</v>
      </c>
      <c r="I70" s="11">
        <f t="shared" si="9"/>
        <v>-36892000</v>
      </c>
      <c r="J70" s="53">
        <f t="shared" si="10"/>
        <v>0</v>
      </c>
      <c r="K70" s="53">
        <f t="shared" si="11"/>
        <v>-36892000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800</v>
      </c>
      <c r="H71" s="36">
        <f t="shared" si="8"/>
        <v>1</v>
      </c>
      <c r="I71" s="11">
        <f t="shared" si="9"/>
        <v>92155062</v>
      </c>
      <c r="J71" s="53">
        <f t="shared" si="10"/>
        <v>82945788</v>
      </c>
      <c r="K71" s="53">
        <f t="shared" si="11"/>
        <v>9209274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799</v>
      </c>
      <c r="H72" s="36">
        <f t="shared" si="8"/>
        <v>0</v>
      </c>
      <c r="I72" s="11">
        <f t="shared" si="9"/>
        <v>-121423231</v>
      </c>
      <c r="J72" s="53">
        <f t="shared" si="10"/>
        <v>0</v>
      </c>
      <c r="K72" s="53">
        <f t="shared" si="11"/>
        <v>-121423231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798</v>
      </c>
      <c r="H73" s="36">
        <f t="shared" si="8"/>
        <v>0</v>
      </c>
      <c r="I73" s="11">
        <f t="shared" si="9"/>
        <v>-642789000</v>
      </c>
      <c r="J73" s="53">
        <f t="shared" si="10"/>
        <v>0</v>
      </c>
      <c r="K73" s="53">
        <f t="shared" si="11"/>
        <v>-642789000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791</v>
      </c>
      <c r="H74" s="36">
        <f t="shared" si="8"/>
        <v>1</v>
      </c>
      <c r="I74" s="11">
        <f t="shared" si="9"/>
        <v>5526050000</v>
      </c>
      <c r="J74" s="53">
        <f t="shared" si="10"/>
        <v>0</v>
      </c>
      <c r="K74" s="53">
        <f t="shared" si="11"/>
        <v>5526050000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790</v>
      </c>
      <c r="H75" s="36">
        <f t="shared" si="8"/>
        <v>1</v>
      </c>
      <c r="I75" s="11">
        <f t="shared" si="9"/>
        <v>2367000000</v>
      </c>
      <c r="J75" s="53">
        <f t="shared" si="10"/>
        <v>0</v>
      </c>
      <c r="K75" s="53">
        <f t="shared" si="11"/>
        <v>2367000000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788</v>
      </c>
      <c r="H76" s="36">
        <f t="shared" si="8"/>
        <v>1</v>
      </c>
      <c r="I76" s="11">
        <f t="shared" si="9"/>
        <v>2361000000</v>
      </c>
      <c r="J76" s="53">
        <f t="shared" si="10"/>
        <v>0</v>
      </c>
      <c r="K76" s="53">
        <f t="shared" si="11"/>
        <v>2361000000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787</v>
      </c>
      <c r="H77" s="36">
        <f t="shared" si="8"/>
        <v>1</v>
      </c>
      <c r="I77" s="11">
        <f t="shared" si="9"/>
        <v>2358000000</v>
      </c>
      <c r="J77" s="53">
        <f t="shared" si="10"/>
        <v>0</v>
      </c>
      <c r="K77" s="53">
        <f t="shared" si="11"/>
        <v>2358000000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786</v>
      </c>
      <c r="H78" s="36">
        <f t="shared" si="8"/>
        <v>0</v>
      </c>
      <c r="I78" s="11">
        <f t="shared" si="9"/>
        <v>-2515200000</v>
      </c>
      <c r="J78" s="53">
        <f t="shared" si="10"/>
        <v>-2515200000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785</v>
      </c>
      <c r="H79" s="36">
        <f t="shared" si="8"/>
        <v>0</v>
      </c>
      <c r="I79" s="11">
        <f t="shared" si="9"/>
        <v>-628000000</v>
      </c>
      <c r="J79" s="53">
        <f t="shared" si="10"/>
        <v>-628000000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784</v>
      </c>
      <c r="H80" s="36">
        <f t="shared" si="8"/>
        <v>0</v>
      </c>
      <c r="I80" s="11">
        <f t="shared" si="9"/>
        <v>-37940112</v>
      </c>
      <c r="J80" s="53">
        <f t="shared" si="10"/>
        <v>0</v>
      </c>
      <c r="K80" s="53">
        <f t="shared" si="11"/>
        <v>-37940112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783</v>
      </c>
      <c r="H81" s="36">
        <f t="shared" si="8"/>
        <v>0</v>
      </c>
      <c r="I81" s="11">
        <f t="shared" si="9"/>
        <v>-109620000</v>
      </c>
      <c r="J81" s="53">
        <f t="shared" si="10"/>
        <v>0</v>
      </c>
      <c r="K81" s="53">
        <f t="shared" si="11"/>
        <v>-109620000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782</v>
      </c>
      <c r="H82" s="36">
        <f t="shared" si="8"/>
        <v>0</v>
      </c>
      <c r="I82" s="11">
        <f t="shared" si="9"/>
        <v>-195500000</v>
      </c>
      <c r="J82" s="53">
        <f t="shared" si="10"/>
        <v>0</v>
      </c>
      <c r="K82" s="53">
        <f t="shared" si="11"/>
        <v>-195500000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781</v>
      </c>
      <c r="H83" s="36">
        <f t="shared" si="8"/>
        <v>0</v>
      </c>
      <c r="I83" s="11">
        <f t="shared" si="9"/>
        <v>-156200000</v>
      </c>
      <c r="J83" s="53">
        <f t="shared" si="10"/>
        <v>0</v>
      </c>
      <c r="K83" s="53">
        <f t="shared" si="11"/>
        <v>-156200000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778</v>
      </c>
      <c r="H84" s="36">
        <f t="shared" si="8"/>
        <v>1</v>
      </c>
      <c r="I84" s="11">
        <f t="shared" si="9"/>
        <v>1270550400</v>
      </c>
      <c r="J84" s="53">
        <f t="shared" si="10"/>
        <v>0</v>
      </c>
      <c r="K84" s="53">
        <f t="shared" si="11"/>
        <v>1270550400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774</v>
      </c>
      <c r="H85" s="36">
        <f t="shared" si="8"/>
        <v>1</v>
      </c>
      <c r="I85" s="11">
        <f t="shared" si="9"/>
        <v>1932500000</v>
      </c>
      <c r="J85" s="53">
        <f t="shared" si="10"/>
        <v>0</v>
      </c>
      <c r="K85" s="53">
        <f t="shared" si="11"/>
        <v>1932500000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770</v>
      </c>
      <c r="H86" s="36">
        <f t="shared" si="8"/>
        <v>1</v>
      </c>
      <c r="I86" s="11">
        <f t="shared" si="9"/>
        <v>143264700</v>
      </c>
      <c r="J86" s="53">
        <f t="shared" si="10"/>
        <v>65326550</v>
      </c>
      <c r="K86" s="53">
        <f t="shared" si="11"/>
        <v>77938150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767</v>
      </c>
      <c r="H87" s="36">
        <f t="shared" si="8"/>
        <v>0</v>
      </c>
      <c r="I87" s="11">
        <f t="shared" si="9"/>
        <v>-153400000</v>
      </c>
      <c r="J87" s="53">
        <f t="shared" si="10"/>
        <v>0</v>
      </c>
      <c r="K87" s="53">
        <f t="shared" si="11"/>
        <v>-153400000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766</v>
      </c>
      <c r="H88" s="36">
        <f t="shared" si="8"/>
        <v>0</v>
      </c>
      <c r="I88" s="11">
        <f t="shared" si="9"/>
        <v>-90388000</v>
      </c>
      <c r="J88" s="53">
        <f t="shared" si="10"/>
        <v>-52854000</v>
      </c>
      <c r="K88" s="53">
        <f t="shared" si="11"/>
        <v>-37534000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758</v>
      </c>
      <c r="H89" s="36">
        <f t="shared" si="8"/>
        <v>0</v>
      </c>
      <c r="I89" s="11">
        <f t="shared" si="9"/>
        <v>-2426282200</v>
      </c>
      <c r="J89" s="53">
        <f t="shared" si="10"/>
        <v>0</v>
      </c>
      <c r="K89" s="53">
        <f t="shared" si="11"/>
        <v>-2426282200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757</v>
      </c>
      <c r="H90" s="36">
        <f t="shared" si="8"/>
        <v>0</v>
      </c>
      <c r="I90" s="11">
        <f t="shared" si="9"/>
        <v>-2423081300</v>
      </c>
      <c r="J90" s="53">
        <f t="shared" si="10"/>
        <v>0</v>
      </c>
      <c r="K90" s="53">
        <f t="shared" si="11"/>
        <v>-2423081300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756</v>
      </c>
      <c r="H91" s="36">
        <f t="shared" si="8"/>
        <v>0</v>
      </c>
      <c r="I91" s="11">
        <f t="shared" si="9"/>
        <v>-2419880400</v>
      </c>
      <c r="J91" s="53">
        <f t="shared" si="10"/>
        <v>0</v>
      </c>
      <c r="K91" s="53">
        <f t="shared" si="11"/>
        <v>-2419880400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755</v>
      </c>
      <c r="H92" s="36">
        <f t="shared" si="8"/>
        <v>0</v>
      </c>
      <c r="I92" s="11">
        <f t="shared" si="9"/>
        <v>-2416679500</v>
      </c>
      <c r="J92" s="53">
        <f t="shared" si="10"/>
        <v>0</v>
      </c>
      <c r="K92" s="53">
        <f t="shared" si="11"/>
        <v>-2416679500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754</v>
      </c>
      <c r="H93" s="36">
        <f t="shared" si="8"/>
        <v>0</v>
      </c>
      <c r="I93" s="11">
        <f t="shared" si="9"/>
        <v>-2413478600</v>
      </c>
      <c r="J93" s="53">
        <f t="shared" si="10"/>
        <v>0</v>
      </c>
      <c r="K93" s="53">
        <f t="shared" si="11"/>
        <v>-2413478600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753</v>
      </c>
      <c r="H94" s="36">
        <f t="shared" si="8"/>
        <v>0</v>
      </c>
      <c r="I94" s="11">
        <f t="shared" si="9"/>
        <v>-2410277700</v>
      </c>
      <c r="J94" s="53">
        <f t="shared" si="10"/>
        <v>0</v>
      </c>
      <c r="K94" s="53">
        <f t="shared" si="11"/>
        <v>-2410277700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751</v>
      </c>
      <c r="H95" s="36">
        <f t="shared" si="8"/>
        <v>0</v>
      </c>
      <c r="I95" s="11">
        <f t="shared" si="9"/>
        <v>-898643596</v>
      </c>
      <c r="J95" s="53">
        <f t="shared" si="10"/>
        <v>0</v>
      </c>
      <c r="K95" s="53">
        <f t="shared" si="11"/>
        <v>-898643596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741</v>
      </c>
      <c r="H96" s="36">
        <f t="shared" si="8"/>
        <v>0</v>
      </c>
      <c r="I96" s="11">
        <f t="shared" si="9"/>
        <v>-148200000</v>
      </c>
      <c r="J96" s="53">
        <f t="shared" si="10"/>
        <v>0</v>
      </c>
      <c r="K96" s="53">
        <f t="shared" si="11"/>
        <v>-148200000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740</v>
      </c>
      <c r="H97" s="36">
        <f t="shared" si="8"/>
        <v>1</v>
      </c>
      <c r="I97" s="11">
        <f t="shared" si="9"/>
        <v>117913362</v>
      </c>
      <c r="J97" s="53">
        <f t="shared" si="10"/>
        <v>50936314</v>
      </c>
      <c r="K97" s="53">
        <f t="shared" si="11"/>
        <v>66977048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735</v>
      </c>
      <c r="H98" s="36">
        <f t="shared" si="8"/>
        <v>1</v>
      </c>
      <c r="I98" s="11">
        <f t="shared" si="9"/>
        <v>83946112</v>
      </c>
      <c r="J98" s="53">
        <f t="shared" si="10"/>
        <v>0</v>
      </c>
      <c r="K98" s="53">
        <f t="shared" si="11"/>
        <v>83946112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732</v>
      </c>
      <c r="H99" s="36">
        <f t="shared" si="8"/>
        <v>0</v>
      </c>
      <c r="I99" s="11">
        <f t="shared" si="9"/>
        <v>-969900000</v>
      </c>
      <c r="J99" s="53">
        <f t="shared" si="10"/>
        <v>0</v>
      </c>
      <c r="K99" s="53">
        <f t="shared" si="11"/>
        <v>-969900000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727</v>
      </c>
      <c r="H100" s="36">
        <f t="shared" si="8"/>
        <v>1</v>
      </c>
      <c r="I100" s="11">
        <f t="shared" si="9"/>
        <v>961950000</v>
      </c>
      <c r="J100" s="53">
        <f t="shared" si="10"/>
        <v>0</v>
      </c>
      <c r="K100" s="53">
        <f t="shared" si="11"/>
        <v>961950000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710</v>
      </c>
      <c r="H101" s="36">
        <f t="shared" si="8"/>
        <v>1</v>
      </c>
      <c r="I101" s="11">
        <f t="shared" si="9"/>
        <v>47393105</v>
      </c>
      <c r="J101" s="53">
        <f t="shared" si="10"/>
        <v>47393105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707</v>
      </c>
      <c r="H102" s="36">
        <f t="shared" si="8"/>
        <v>1</v>
      </c>
      <c r="I102" s="11">
        <f t="shared" si="9"/>
        <v>2118000000</v>
      </c>
      <c r="J102" s="53">
        <f t="shared" si="10"/>
        <v>0</v>
      </c>
      <c r="K102" s="53">
        <f t="shared" si="11"/>
        <v>2118000000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700</v>
      </c>
      <c r="H103" s="36">
        <f t="shared" si="8"/>
        <v>0</v>
      </c>
      <c r="I103" s="11">
        <f t="shared" si="9"/>
        <v>-700000000</v>
      </c>
      <c r="J103" s="53">
        <f t="shared" si="10"/>
        <v>-700000000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690</v>
      </c>
      <c r="H104" s="36">
        <f t="shared" si="8"/>
        <v>1</v>
      </c>
      <c r="I104" s="11">
        <f t="shared" si="9"/>
        <v>2067000000</v>
      </c>
      <c r="J104" s="53">
        <f t="shared" si="10"/>
        <v>2067000000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689</v>
      </c>
      <c r="H105" s="36">
        <f t="shared" si="8"/>
        <v>1</v>
      </c>
      <c r="I105" s="11">
        <f t="shared" si="9"/>
        <v>770560000</v>
      </c>
      <c r="J105" s="53">
        <f t="shared" si="10"/>
        <v>770560000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689</v>
      </c>
      <c r="H106" s="36">
        <f t="shared" si="8"/>
        <v>0</v>
      </c>
      <c r="I106" s="11">
        <f t="shared" si="9"/>
        <v>-2067000000</v>
      </c>
      <c r="J106" s="53">
        <f t="shared" si="10"/>
        <v>0</v>
      </c>
      <c r="K106" s="53">
        <f t="shared" si="11"/>
        <v>-2067000000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680</v>
      </c>
      <c r="H107" s="36">
        <f t="shared" si="8"/>
        <v>1</v>
      </c>
      <c r="I107" s="11">
        <f t="shared" si="9"/>
        <v>61445426</v>
      </c>
      <c r="J107" s="53">
        <f t="shared" si="10"/>
        <v>51003085</v>
      </c>
      <c r="K107" s="53">
        <f t="shared" si="11"/>
        <v>10442341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678</v>
      </c>
      <c r="H108" s="36">
        <f t="shared" si="8"/>
        <v>0</v>
      </c>
      <c r="I108" s="11">
        <f t="shared" si="9"/>
        <v>-1153074600</v>
      </c>
      <c r="J108" s="53">
        <f t="shared" si="10"/>
        <v>0</v>
      </c>
      <c r="K108" s="53">
        <f t="shared" si="11"/>
        <v>-1153074600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674</v>
      </c>
      <c r="H109" s="36">
        <f t="shared" si="8"/>
        <v>0</v>
      </c>
      <c r="I109" s="11">
        <f t="shared" si="9"/>
        <v>-674337000</v>
      </c>
      <c r="J109" s="53">
        <f t="shared" si="10"/>
        <v>0</v>
      </c>
      <c r="K109" s="53">
        <f t="shared" si="11"/>
        <v>-674337000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671</v>
      </c>
      <c r="H110" s="36">
        <f t="shared" si="8"/>
        <v>1</v>
      </c>
      <c r="I110" s="11">
        <f t="shared" si="9"/>
        <v>13400000000</v>
      </c>
      <c r="J110" s="53">
        <f t="shared" si="10"/>
        <v>0</v>
      </c>
      <c r="K110" s="53">
        <f t="shared" si="11"/>
        <v>13400000000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651</v>
      </c>
      <c r="H111" s="36">
        <f t="shared" si="8"/>
        <v>1</v>
      </c>
      <c r="I111" s="11">
        <f t="shared" si="9"/>
        <v>113540700</v>
      </c>
      <c r="J111" s="53">
        <f t="shared" si="10"/>
        <v>56785950</v>
      </c>
      <c r="K111" s="53">
        <f t="shared" si="11"/>
        <v>56754750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635</v>
      </c>
      <c r="H112" s="36">
        <f t="shared" si="8"/>
        <v>0</v>
      </c>
      <c r="I112" s="11">
        <f t="shared" si="9"/>
        <v>-18034000000</v>
      </c>
      <c r="J112" s="53">
        <f t="shared" si="10"/>
        <v>0</v>
      </c>
      <c r="K112" s="53">
        <f t="shared" si="11"/>
        <v>-18034000000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620</v>
      </c>
      <c r="H113" s="36">
        <f t="shared" si="8"/>
        <v>1</v>
      </c>
      <c r="I113" s="11">
        <f t="shared" si="9"/>
        <v>100921760</v>
      </c>
      <c r="J113" s="53">
        <f t="shared" si="10"/>
        <v>75834309</v>
      </c>
      <c r="K113" s="53">
        <f t="shared" si="11"/>
        <v>25087451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620</v>
      </c>
      <c r="H114" s="36">
        <f t="shared" si="8"/>
        <v>0</v>
      </c>
      <c r="I114" s="11">
        <f t="shared" si="9"/>
        <v>-3534000</v>
      </c>
      <c r="J114" s="53">
        <f t="shared" si="10"/>
        <v>-1550000</v>
      </c>
      <c r="K114" s="53">
        <f t="shared" si="11"/>
        <v>-1984000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607</v>
      </c>
      <c r="H115" s="36">
        <f t="shared" si="8"/>
        <v>0</v>
      </c>
      <c r="I115" s="11">
        <f t="shared" si="9"/>
        <v>0</v>
      </c>
      <c r="J115" s="53">
        <f t="shared" si="10"/>
        <v>303500000</v>
      </c>
      <c r="K115" s="53">
        <f t="shared" si="11"/>
        <v>-303500000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599</v>
      </c>
      <c r="H116" s="36">
        <f t="shared" si="8"/>
        <v>0</v>
      </c>
      <c r="I116" s="11">
        <f t="shared" si="9"/>
        <v>-95840000</v>
      </c>
      <c r="J116" s="53">
        <f t="shared" si="10"/>
        <v>0</v>
      </c>
      <c r="K116" s="53">
        <f t="shared" si="11"/>
        <v>-95840000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590</v>
      </c>
      <c r="H117" s="36">
        <f t="shared" si="8"/>
        <v>1</v>
      </c>
      <c r="I117" s="11">
        <f t="shared" si="9"/>
        <v>871720</v>
      </c>
      <c r="J117" s="53">
        <f t="shared" si="10"/>
        <v>62988249</v>
      </c>
      <c r="K117" s="53">
        <f t="shared" si="11"/>
        <v>-62116529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568</v>
      </c>
      <c r="H118" s="36">
        <f t="shared" si="8"/>
        <v>1</v>
      </c>
      <c r="I118" s="11">
        <f t="shared" si="9"/>
        <v>22339516500</v>
      </c>
      <c r="J118" s="53">
        <f t="shared" si="10"/>
        <v>0</v>
      </c>
      <c r="K118" s="53">
        <f t="shared" si="11"/>
        <v>22339516500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559</v>
      </c>
      <c r="H119" s="36">
        <f t="shared" si="8"/>
        <v>1</v>
      </c>
      <c r="I119" s="11">
        <f t="shared" si="9"/>
        <v>53300718</v>
      </c>
      <c r="J119" s="53">
        <f t="shared" si="10"/>
        <v>61410132</v>
      </c>
      <c r="K119" s="53">
        <f t="shared" si="11"/>
        <v>-8109414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555</v>
      </c>
      <c r="H120" s="11">
        <f t="shared" si="8"/>
        <v>1</v>
      </c>
      <c r="I120" s="11">
        <f t="shared" ref="I120:I285" si="13">B120*(G120-H120)</f>
        <v>1108000000</v>
      </c>
      <c r="J120" s="11">
        <f t="shared" si="10"/>
        <v>0</v>
      </c>
      <c r="K120" s="11">
        <f t="shared" si="11"/>
        <v>1108000000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529</v>
      </c>
      <c r="H121" s="11">
        <f t="shared" si="8"/>
        <v>1</v>
      </c>
      <c r="I121" s="11">
        <f t="shared" si="13"/>
        <v>1372800000</v>
      </c>
      <c r="J121" s="11">
        <f t="shared" si="10"/>
        <v>0</v>
      </c>
      <c r="K121" s="11">
        <f t="shared" si="11"/>
        <v>1372800000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528</v>
      </c>
      <c r="H122" s="11">
        <f t="shared" si="8"/>
        <v>1</v>
      </c>
      <c r="I122" s="11">
        <f t="shared" si="13"/>
        <v>202658377</v>
      </c>
      <c r="J122" s="11">
        <f t="shared" si="10"/>
        <v>58448516</v>
      </c>
      <c r="K122" s="11">
        <f t="shared" si="11"/>
        <v>144209861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527</v>
      </c>
      <c r="H123" s="11">
        <f t="shared" si="8"/>
        <v>0</v>
      </c>
      <c r="I123" s="11">
        <f t="shared" si="13"/>
        <v>0</v>
      </c>
      <c r="J123" s="11">
        <f t="shared" si="10"/>
        <v>421600000</v>
      </c>
      <c r="K123" s="11">
        <f t="shared" si="11"/>
        <v>-421600000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513</v>
      </c>
      <c r="H124" s="11">
        <f t="shared" si="8"/>
        <v>0</v>
      </c>
      <c r="I124" s="11">
        <f t="shared" si="13"/>
        <v>-1539000000</v>
      </c>
      <c r="J124" s="11">
        <f t="shared" si="10"/>
        <v>0</v>
      </c>
      <c r="K124" s="11">
        <f t="shared" si="11"/>
        <v>-1539000000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498</v>
      </c>
      <c r="H125" s="11">
        <f t="shared" si="8"/>
        <v>1</v>
      </c>
      <c r="I125" s="11">
        <f t="shared" si="13"/>
        <v>199152870</v>
      </c>
      <c r="J125" s="11">
        <f t="shared" si="10"/>
        <v>59080875</v>
      </c>
      <c r="K125" s="11">
        <f t="shared" si="11"/>
        <v>140071995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498</v>
      </c>
      <c r="H126" s="11">
        <f t="shared" si="8"/>
        <v>1</v>
      </c>
      <c r="I126" s="11">
        <f t="shared" si="13"/>
        <v>20874000000</v>
      </c>
      <c r="J126" s="11">
        <f t="shared" si="10"/>
        <v>0</v>
      </c>
      <c r="K126" s="11">
        <f t="shared" si="11"/>
        <v>20874000000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473</v>
      </c>
      <c r="H127" s="11">
        <f t="shared" si="8"/>
        <v>0</v>
      </c>
      <c r="I127" s="11">
        <f t="shared" si="13"/>
        <v>-2365000</v>
      </c>
      <c r="J127" s="11">
        <f t="shared" si="10"/>
        <v>0</v>
      </c>
      <c r="K127" s="11">
        <f t="shared" si="11"/>
        <v>-2365000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467</v>
      </c>
      <c r="H128" s="11">
        <f t="shared" si="8"/>
        <v>1</v>
      </c>
      <c r="I128" s="11">
        <f t="shared" si="13"/>
        <v>359460284</v>
      </c>
      <c r="J128" s="11">
        <f t="shared" si="10"/>
        <v>56244802</v>
      </c>
      <c r="K128" s="11">
        <f t="shared" si="11"/>
        <v>303215482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464</v>
      </c>
      <c r="H129" s="11">
        <f t="shared" si="8"/>
        <v>1</v>
      </c>
      <c r="I129" s="11">
        <f t="shared" si="13"/>
        <v>1157500000</v>
      </c>
      <c r="J129" s="11">
        <f t="shared" si="10"/>
        <v>0</v>
      </c>
      <c r="K129" s="11">
        <f t="shared" si="11"/>
        <v>1157500000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450</v>
      </c>
      <c r="H130" s="11">
        <f t="shared" si="8"/>
        <v>0</v>
      </c>
      <c r="I130" s="11">
        <f t="shared" si="13"/>
        <v>-450000000</v>
      </c>
      <c r="J130" s="11">
        <f t="shared" si="10"/>
        <v>-450000000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445</v>
      </c>
      <c r="H131" s="11">
        <f t="shared" si="8"/>
        <v>0</v>
      </c>
      <c r="I131" s="11">
        <f t="shared" si="13"/>
        <v>-22250000000</v>
      </c>
      <c r="J131" s="11">
        <f t="shared" si="10"/>
        <v>0</v>
      </c>
      <c r="K131" s="11">
        <f t="shared" si="11"/>
        <v>-22250000000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437</v>
      </c>
      <c r="H132" s="11">
        <f t="shared" ref="H132:H285" si="15">IF(B132&gt;0,1,0)</f>
        <v>1</v>
      </c>
      <c r="I132" s="11">
        <f t="shared" si="13"/>
        <v>267829132</v>
      </c>
      <c r="J132" s="11">
        <f t="shared" ref="J132:J206" si="16">C132*(G132-H132)</f>
        <v>46203356</v>
      </c>
      <c r="K132" s="11">
        <f t="shared" ref="K132:K285" si="17">D132*(G132-H132)</f>
        <v>221625776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433</v>
      </c>
      <c r="H133" s="11">
        <f t="shared" si="15"/>
        <v>0</v>
      </c>
      <c r="I133" s="11">
        <f t="shared" si="13"/>
        <v>-524233100</v>
      </c>
      <c r="J133" s="11">
        <f t="shared" si="16"/>
        <v>0</v>
      </c>
      <c r="K133" s="11">
        <f t="shared" si="17"/>
        <v>-524233100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424</v>
      </c>
      <c r="H134" s="11">
        <f t="shared" si="15"/>
        <v>0</v>
      </c>
      <c r="I134" s="11">
        <f t="shared" si="13"/>
        <v>-27560000</v>
      </c>
      <c r="J134" s="11">
        <f t="shared" si="16"/>
        <v>0</v>
      </c>
      <c r="K134" s="11">
        <f t="shared" si="17"/>
        <v>-27560000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424</v>
      </c>
      <c r="H135" s="11">
        <f t="shared" si="15"/>
        <v>0</v>
      </c>
      <c r="I135" s="11">
        <f t="shared" si="13"/>
        <v>-13695200</v>
      </c>
      <c r="J135" s="11">
        <f t="shared" si="16"/>
        <v>0</v>
      </c>
      <c r="K135" s="11">
        <f t="shared" si="17"/>
        <v>-13695200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416</v>
      </c>
      <c r="H136" s="11">
        <f t="shared" si="15"/>
        <v>0</v>
      </c>
      <c r="I136" s="11">
        <f t="shared" si="13"/>
        <v>-416000000</v>
      </c>
      <c r="J136" s="11">
        <f t="shared" si="16"/>
        <v>-416000000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407</v>
      </c>
      <c r="H137" s="11">
        <f t="shared" si="15"/>
        <v>1</v>
      </c>
      <c r="I137" s="11">
        <f t="shared" si="13"/>
        <v>118094438</v>
      </c>
      <c r="J137" s="11">
        <f t="shared" si="16"/>
        <v>39527754</v>
      </c>
      <c r="K137" s="11">
        <f t="shared" si="17"/>
        <v>78566684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390</v>
      </c>
      <c r="H138" s="11">
        <f t="shared" si="15"/>
        <v>0</v>
      </c>
      <c r="I138" s="11">
        <f t="shared" si="13"/>
        <v>-390195000</v>
      </c>
      <c r="J138" s="11">
        <f t="shared" si="16"/>
        <v>-390195000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378</v>
      </c>
      <c r="H139" s="11">
        <f t="shared" si="15"/>
        <v>1</v>
      </c>
      <c r="I139" s="11">
        <f t="shared" si="13"/>
        <v>106404480</v>
      </c>
      <c r="J139" s="11">
        <f t="shared" si="16"/>
        <v>33480239</v>
      </c>
      <c r="K139" s="11">
        <f t="shared" si="17"/>
        <v>72924241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375</v>
      </c>
      <c r="H140" s="11">
        <f t="shared" si="15"/>
        <v>1</v>
      </c>
      <c r="I140" s="11">
        <f t="shared" si="13"/>
        <v>561000000</v>
      </c>
      <c r="J140" s="11">
        <f t="shared" si="16"/>
        <v>0</v>
      </c>
      <c r="K140" s="11">
        <f t="shared" si="17"/>
        <v>561000000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362</v>
      </c>
      <c r="H141" s="11">
        <f t="shared" si="15"/>
        <v>0</v>
      </c>
      <c r="I141" s="11">
        <f t="shared" si="13"/>
        <v>0</v>
      </c>
      <c r="J141" s="11">
        <f t="shared" si="16"/>
        <v>-362000000</v>
      </c>
      <c r="K141" s="11">
        <f t="shared" si="17"/>
        <v>362000000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348</v>
      </c>
      <c r="H142" s="11">
        <f t="shared" si="15"/>
        <v>1</v>
      </c>
      <c r="I142" s="11">
        <f t="shared" si="13"/>
        <v>100939871</v>
      </c>
      <c r="J142" s="11">
        <f t="shared" si="16"/>
        <v>28114634</v>
      </c>
      <c r="K142" s="11">
        <f t="shared" si="17"/>
        <v>72825237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328</v>
      </c>
      <c r="H143" s="11">
        <f t="shared" si="15"/>
        <v>0</v>
      </c>
      <c r="I143" s="11">
        <f t="shared" si="13"/>
        <v>0</v>
      </c>
      <c r="J143" s="11">
        <f t="shared" si="16"/>
        <v>-328000000</v>
      </c>
      <c r="K143" s="11">
        <f t="shared" si="17"/>
        <v>328000000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318</v>
      </c>
      <c r="H144" s="11">
        <f t="shared" si="15"/>
        <v>1</v>
      </c>
      <c r="I144" s="11">
        <f t="shared" si="13"/>
        <v>93468084</v>
      </c>
      <c r="J144" s="11">
        <f t="shared" si="16"/>
        <v>23666269</v>
      </c>
      <c r="K144" s="11">
        <f t="shared" si="17"/>
        <v>69801815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303</v>
      </c>
      <c r="H145" s="11">
        <f t="shared" si="15"/>
        <v>0</v>
      </c>
      <c r="I145" s="11">
        <f t="shared" si="13"/>
        <v>-3030000</v>
      </c>
      <c r="J145" s="11">
        <f t="shared" si="16"/>
        <v>-1515000</v>
      </c>
      <c r="K145" s="11">
        <f t="shared" si="17"/>
        <v>-1515000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298</v>
      </c>
      <c r="H146" s="11">
        <f t="shared" si="15"/>
        <v>0</v>
      </c>
      <c r="I146" s="11">
        <f t="shared" si="13"/>
        <v>-298149000</v>
      </c>
      <c r="J146" s="11">
        <f t="shared" si="16"/>
        <v>-298149000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292</v>
      </c>
      <c r="H147" s="11">
        <f t="shared" si="15"/>
        <v>0</v>
      </c>
      <c r="I147" s="11">
        <f t="shared" si="13"/>
        <v>-7884000000</v>
      </c>
      <c r="J147" s="11">
        <f t="shared" si="16"/>
        <v>0</v>
      </c>
      <c r="K147" s="11">
        <f t="shared" si="17"/>
        <v>-7884000000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289</v>
      </c>
      <c r="H148" s="11">
        <f t="shared" si="15"/>
        <v>1</v>
      </c>
      <c r="I148" s="11">
        <f t="shared" si="13"/>
        <v>72701568</v>
      </c>
      <c r="J148" s="11">
        <f t="shared" si="16"/>
        <v>18866880</v>
      </c>
      <c r="K148" s="11">
        <f t="shared" si="17"/>
        <v>53834688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85" si="18">B149-C149</f>
        <v>52400000</v>
      </c>
      <c r="E149" s="11" t="s">
        <v>1074</v>
      </c>
      <c r="F149" s="11">
        <v>7</v>
      </c>
      <c r="G149" s="36">
        <f t="shared" si="14"/>
        <v>281</v>
      </c>
      <c r="H149" s="11">
        <f t="shared" si="15"/>
        <v>1</v>
      </c>
      <c r="I149" s="11">
        <f t="shared" si="13"/>
        <v>14672000000</v>
      </c>
      <c r="J149" s="11">
        <f t="shared" si="16"/>
        <v>0</v>
      </c>
      <c r="K149" s="11">
        <f t="shared" si="17"/>
        <v>14672000000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274</v>
      </c>
      <c r="H150" s="11">
        <f t="shared" si="15"/>
        <v>0</v>
      </c>
      <c r="I150" s="11">
        <f t="shared" si="13"/>
        <v>-14248000000</v>
      </c>
      <c r="J150" s="11">
        <f t="shared" si="16"/>
        <v>0</v>
      </c>
      <c r="K150" s="11">
        <f t="shared" si="17"/>
        <v>-14248000000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269</v>
      </c>
      <c r="H151" s="99">
        <f t="shared" si="15"/>
        <v>0</v>
      </c>
      <c r="I151" s="99">
        <f t="shared" si="13"/>
        <v>-2152000000</v>
      </c>
      <c r="J151" s="99">
        <f t="shared" si="16"/>
        <v>-1821703239</v>
      </c>
      <c r="K151" s="11">
        <f t="shared" si="17"/>
        <v>-330296761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269</v>
      </c>
      <c r="H152" s="99">
        <f t="shared" si="15"/>
        <v>0</v>
      </c>
      <c r="I152" s="99">
        <f t="shared" si="13"/>
        <v>-8400870</v>
      </c>
      <c r="J152" s="99">
        <f t="shared" si="16"/>
        <v>0</v>
      </c>
      <c r="K152" s="99">
        <f t="shared" si="17"/>
        <v>-8400870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258</v>
      </c>
      <c r="H153" s="99">
        <f t="shared" si="15"/>
        <v>1</v>
      </c>
      <c r="I153" s="99">
        <f t="shared" si="13"/>
        <v>34717359</v>
      </c>
      <c r="J153" s="99">
        <f t="shared" si="16"/>
        <v>10570410</v>
      </c>
      <c r="K153" s="99">
        <f t="shared" si="17"/>
        <v>24146949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255</v>
      </c>
      <c r="H154" s="99">
        <f t="shared" si="15"/>
        <v>1</v>
      </c>
      <c r="I154" s="99">
        <f t="shared" si="13"/>
        <v>1733316828</v>
      </c>
      <c r="J154" s="99">
        <f t="shared" si="16"/>
        <v>1733316828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250</v>
      </c>
      <c r="H155" s="99">
        <f t="shared" si="15"/>
        <v>0</v>
      </c>
      <c r="I155" s="99">
        <f t="shared" si="13"/>
        <v>-50000000</v>
      </c>
      <c r="J155" s="99">
        <f t="shared" si="16"/>
        <v>0</v>
      </c>
      <c r="K155" s="99">
        <f t="shared" si="17"/>
        <v>-50000000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250</v>
      </c>
      <c r="H156" s="99">
        <f t="shared" si="15"/>
        <v>0</v>
      </c>
      <c r="I156" s="99">
        <f t="shared" si="13"/>
        <v>-61960000</v>
      </c>
      <c r="J156" s="99">
        <f t="shared" si="16"/>
        <v>0</v>
      </c>
      <c r="K156" s="99">
        <f t="shared" si="17"/>
        <v>-61960000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249</v>
      </c>
      <c r="H157" s="99">
        <f t="shared" si="15"/>
        <v>0</v>
      </c>
      <c r="I157" s="99">
        <f t="shared" si="13"/>
        <v>-40422660</v>
      </c>
      <c r="J157" s="99">
        <f t="shared" si="16"/>
        <v>0</v>
      </c>
      <c r="K157" s="99">
        <f t="shared" si="17"/>
        <v>-40422660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249</v>
      </c>
      <c r="H158" s="99">
        <f t="shared" si="15"/>
        <v>0</v>
      </c>
      <c r="I158" s="99">
        <f t="shared" si="13"/>
        <v>-747224100</v>
      </c>
      <c r="J158" s="99">
        <f t="shared" si="16"/>
        <v>0</v>
      </c>
      <c r="K158" s="99">
        <f t="shared" si="17"/>
        <v>-747224100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247</v>
      </c>
      <c r="H159" s="99">
        <f t="shared" si="15"/>
        <v>0</v>
      </c>
      <c r="I159" s="99">
        <f t="shared" si="13"/>
        <v>-247123500</v>
      </c>
      <c r="J159" s="99">
        <f t="shared" si="16"/>
        <v>0</v>
      </c>
      <c r="K159" s="99">
        <f t="shared" si="17"/>
        <v>-247123500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243</v>
      </c>
      <c r="H160" s="99">
        <f t="shared" si="15"/>
        <v>0</v>
      </c>
      <c r="I160" s="99">
        <f t="shared" si="13"/>
        <v>-24300000</v>
      </c>
      <c r="J160" s="99">
        <f t="shared" si="16"/>
        <v>0</v>
      </c>
      <c r="K160" s="99">
        <f t="shared" si="17"/>
        <v>-24300000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242</v>
      </c>
      <c r="H161" s="99">
        <f t="shared" si="15"/>
        <v>0</v>
      </c>
      <c r="I161" s="99">
        <f t="shared" si="13"/>
        <v>-484000000</v>
      </c>
      <c r="J161" s="99">
        <f t="shared" si="16"/>
        <v>0</v>
      </c>
      <c r="K161" s="99">
        <f t="shared" si="17"/>
        <v>-484000000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242</v>
      </c>
      <c r="H162" s="99">
        <f t="shared" si="15"/>
        <v>0</v>
      </c>
      <c r="I162" s="99">
        <f t="shared" si="13"/>
        <v>-242121000</v>
      </c>
      <c r="J162" s="99">
        <f t="shared" si="16"/>
        <v>0</v>
      </c>
      <c r="K162" s="99">
        <f t="shared" si="17"/>
        <v>-242121000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239</v>
      </c>
      <c r="H163" s="99">
        <f t="shared" si="15"/>
        <v>0</v>
      </c>
      <c r="I163" s="99">
        <f t="shared" si="13"/>
        <v>-1195000</v>
      </c>
      <c r="J163" s="99">
        <f t="shared" si="16"/>
        <v>0</v>
      </c>
      <c r="K163" s="99">
        <f t="shared" si="17"/>
        <v>-1195000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229</v>
      </c>
      <c r="H164" s="99">
        <f t="shared" si="15"/>
        <v>1</v>
      </c>
      <c r="I164" s="99">
        <f t="shared" si="13"/>
        <v>684000000</v>
      </c>
      <c r="J164" s="99">
        <f t="shared" si="16"/>
        <v>0</v>
      </c>
      <c r="K164" s="99">
        <f t="shared" si="17"/>
        <v>684000000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228</v>
      </c>
      <c r="H165" s="99">
        <f t="shared" si="15"/>
        <v>1</v>
      </c>
      <c r="I165" s="99">
        <f t="shared" si="13"/>
        <v>681000000</v>
      </c>
      <c r="J165" s="99">
        <f t="shared" si="16"/>
        <v>0</v>
      </c>
      <c r="K165" s="99">
        <f t="shared" si="17"/>
        <v>681000000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227</v>
      </c>
      <c r="H166" s="99">
        <f t="shared" si="15"/>
        <v>1</v>
      </c>
      <c r="I166" s="99">
        <f t="shared" si="13"/>
        <v>4590964</v>
      </c>
      <c r="J166" s="99">
        <f t="shared" si="16"/>
        <v>13524292</v>
      </c>
      <c r="K166" s="99">
        <f t="shared" si="17"/>
        <v>-8933328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222</v>
      </c>
      <c r="H167" s="99">
        <f t="shared" si="15"/>
        <v>0</v>
      </c>
      <c r="I167" s="99">
        <f t="shared" si="13"/>
        <v>-666199800</v>
      </c>
      <c r="J167" s="99">
        <f t="shared" si="16"/>
        <v>0</v>
      </c>
      <c r="K167" s="99">
        <f t="shared" si="17"/>
        <v>-666199800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204</v>
      </c>
      <c r="H168" s="99">
        <f t="shared" si="15"/>
        <v>0</v>
      </c>
      <c r="I168" s="99">
        <f t="shared" si="13"/>
        <v>-612183600</v>
      </c>
      <c r="J168" s="99">
        <f t="shared" si="16"/>
        <v>0</v>
      </c>
      <c r="K168" s="99">
        <f t="shared" si="17"/>
        <v>-612183600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196</v>
      </c>
      <c r="H169" s="99">
        <f t="shared" si="15"/>
        <v>1</v>
      </c>
      <c r="I169" s="99">
        <f t="shared" si="13"/>
        <v>4232475</v>
      </c>
      <c r="J169" s="99">
        <f t="shared" si="16"/>
        <v>13360425</v>
      </c>
      <c r="K169" s="99">
        <f t="shared" si="17"/>
        <v>-9127950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172</v>
      </c>
      <c r="H170" s="99">
        <f t="shared" si="15"/>
        <v>1</v>
      </c>
      <c r="I170" s="99">
        <f t="shared" si="13"/>
        <v>855000000</v>
      </c>
      <c r="J170" s="99">
        <f t="shared" si="16"/>
        <v>0</v>
      </c>
      <c r="K170" s="99">
        <f t="shared" si="17"/>
        <v>855000000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171</v>
      </c>
      <c r="H171" s="99">
        <f t="shared" si="15"/>
        <v>0</v>
      </c>
      <c r="I171" s="99">
        <f t="shared" si="13"/>
        <v>-855000000</v>
      </c>
      <c r="J171" s="99">
        <f t="shared" si="16"/>
        <v>0</v>
      </c>
      <c r="K171" s="99">
        <f t="shared" si="17"/>
        <v>-855000000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165</v>
      </c>
      <c r="H172" s="99">
        <f t="shared" si="15"/>
        <v>1</v>
      </c>
      <c r="I172" s="99">
        <f t="shared" si="13"/>
        <v>81344</v>
      </c>
      <c r="J172" s="99">
        <f t="shared" si="16"/>
        <v>10279684</v>
      </c>
      <c r="K172" s="99">
        <f t="shared" si="17"/>
        <v>-10198340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164</v>
      </c>
      <c r="H173" s="99">
        <f t="shared" si="15"/>
        <v>1</v>
      </c>
      <c r="I173" s="99">
        <f t="shared" si="13"/>
        <v>127955000</v>
      </c>
      <c r="J173" s="99">
        <f t="shared" si="16"/>
        <v>0</v>
      </c>
      <c r="K173" s="99">
        <f t="shared" si="17"/>
        <v>127955000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153</v>
      </c>
      <c r="H174" s="99">
        <f t="shared" si="15"/>
        <v>0</v>
      </c>
      <c r="I174" s="99">
        <f t="shared" si="13"/>
        <v>-4896000</v>
      </c>
      <c r="J174" s="99">
        <f t="shared" si="16"/>
        <v>0</v>
      </c>
      <c r="K174" s="99">
        <f t="shared" si="17"/>
        <v>-4896000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151</v>
      </c>
      <c r="H175" s="99">
        <f t="shared" si="15"/>
        <v>0</v>
      </c>
      <c r="I175" s="99">
        <f t="shared" si="13"/>
        <v>-113250000</v>
      </c>
      <c r="J175" s="99">
        <f t="shared" si="16"/>
        <v>0</v>
      </c>
      <c r="K175" s="99">
        <f t="shared" si="17"/>
        <v>-113250000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142</v>
      </c>
      <c r="H176" s="99">
        <f t="shared" si="15"/>
        <v>0</v>
      </c>
      <c r="I176" s="99">
        <f t="shared" si="13"/>
        <v>-1334232</v>
      </c>
      <c r="J176" s="99">
        <f t="shared" si="16"/>
        <v>0</v>
      </c>
      <c r="K176" s="99">
        <f t="shared" si="17"/>
        <v>-1334232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141</v>
      </c>
      <c r="H177" s="99">
        <f t="shared" si="15"/>
        <v>0</v>
      </c>
      <c r="I177" s="99">
        <f t="shared" si="13"/>
        <v>-6105300</v>
      </c>
      <c r="J177" s="99">
        <f t="shared" si="16"/>
        <v>0</v>
      </c>
      <c r="K177" s="99">
        <f t="shared" si="17"/>
        <v>-6105300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138</v>
      </c>
      <c r="H178" s="99">
        <f t="shared" si="15"/>
        <v>1</v>
      </c>
      <c r="I178" s="99">
        <f t="shared" si="13"/>
        <v>49320000</v>
      </c>
      <c r="J178" s="99">
        <f t="shared" si="16"/>
        <v>0</v>
      </c>
      <c r="K178" s="99">
        <f t="shared" si="17"/>
        <v>49320000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136</v>
      </c>
      <c r="H179" s="99">
        <f t="shared" si="15"/>
        <v>1</v>
      </c>
      <c r="I179" s="99">
        <f t="shared" si="13"/>
        <v>405000000</v>
      </c>
      <c r="J179" s="99">
        <f t="shared" si="16"/>
        <v>0</v>
      </c>
      <c r="K179" s="99">
        <f t="shared" si="17"/>
        <v>405000000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136</v>
      </c>
      <c r="H180" s="99">
        <f t="shared" si="15"/>
        <v>0</v>
      </c>
      <c r="I180" s="99">
        <f t="shared" si="13"/>
        <v>-1638800</v>
      </c>
      <c r="J180" s="99">
        <f t="shared" si="16"/>
        <v>0</v>
      </c>
      <c r="K180" s="99">
        <f t="shared" si="17"/>
        <v>-1638800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134</v>
      </c>
      <c r="H181" s="99">
        <f t="shared" si="15"/>
        <v>1</v>
      </c>
      <c r="I181" s="99">
        <f t="shared" si="13"/>
        <v>399000000</v>
      </c>
      <c r="J181" s="99">
        <f t="shared" si="16"/>
        <v>0</v>
      </c>
      <c r="K181" s="99">
        <f t="shared" si="17"/>
        <v>399000000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132</v>
      </c>
      <c r="H182" s="99">
        <f t="shared" si="15"/>
        <v>0</v>
      </c>
      <c r="I182" s="99">
        <f t="shared" si="13"/>
        <v>-4725600</v>
      </c>
      <c r="J182" s="99">
        <f t="shared" si="16"/>
        <v>0</v>
      </c>
      <c r="K182" s="99">
        <f t="shared" si="17"/>
        <v>-4725600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131</v>
      </c>
      <c r="H183" s="99">
        <f t="shared" si="15"/>
        <v>1</v>
      </c>
      <c r="I183" s="99">
        <f t="shared" si="13"/>
        <v>468000000</v>
      </c>
      <c r="J183" s="99">
        <f t="shared" si="16"/>
        <v>0</v>
      </c>
      <c r="K183" s="99">
        <f t="shared" si="17"/>
        <v>468000000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131</v>
      </c>
      <c r="H184" s="99">
        <f t="shared" si="15"/>
        <v>0</v>
      </c>
      <c r="I184" s="99">
        <f t="shared" si="13"/>
        <v>-4372387</v>
      </c>
      <c r="J184" s="99">
        <f t="shared" si="16"/>
        <v>0</v>
      </c>
      <c r="K184" s="99">
        <f t="shared" si="17"/>
        <v>-4372387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128</v>
      </c>
      <c r="H185" s="99">
        <f t="shared" si="15"/>
        <v>0</v>
      </c>
      <c r="I185" s="99">
        <f t="shared" si="13"/>
        <v>-1254400000</v>
      </c>
      <c r="J185" s="99">
        <f t="shared" si="16"/>
        <v>0</v>
      </c>
      <c r="K185" s="99">
        <f t="shared" si="17"/>
        <v>-1254400000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128</v>
      </c>
      <c r="H186" s="99">
        <f t="shared" si="15"/>
        <v>1</v>
      </c>
      <c r="I186" s="99">
        <f t="shared" si="13"/>
        <v>2286000000</v>
      </c>
      <c r="J186" s="99">
        <f t="shared" si="16"/>
        <v>0</v>
      </c>
      <c r="K186" s="99">
        <f t="shared" si="17"/>
        <v>2286000000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128</v>
      </c>
      <c r="H187" s="99">
        <f t="shared" si="15"/>
        <v>0</v>
      </c>
      <c r="I187" s="99">
        <f t="shared" si="13"/>
        <v>-1152000000</v>
      </c>
      <c r="J187" s="99">
        <f t="shared" si="16"/>
        <v>0</v>
      </c>
      <c r="K187" s="99">
        <f t="shared" si="17"/>
        <v>-1152000000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128</v>
      </c>
      <c r="H188" s="99">
        <f t="shared" si="15"/>
        <v>0</v>
      </c>
      <c r="I188" s="99">
        <f t="shared" si="13"/>
        <v>-1484800</v>
      </c>
      <c r="J188" s="99">
        <f t="shared" si="16"/>
        <v>0</v>
      </c>
      <c r="K188" s="99">
        <f t="shared" si="17"/>
        <v>-1484800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128</v>
      </c>
      <c r="H189" s="99">
        <f t="shared" si="15"/>
        <v>0</v>
      </c>
      <c r="I189" s="99">
        <f t="shared" si="13"/>
        <v>-422953856</v>
      </c>
      <c r="J189" s="99">
        <f t="shared" si="16"/>
        <v>0</v>
      </c>
      <c r="K189" s="99">
        <f t="shared" si="17"/>
        <v>-422953856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127</v>
      </c>
      <c r="H190" s="99">
        <f t="shared" si="15"/>
        <v>0</v>
      </c>
      <c r="I190" s="99">
        <f t="shared" si="13"/>
        <v>-381114300</v>
      </c>
      <c r="J190" s="99">
        <f t="shared" si="16"/>
        <v>0</v>
      </c>
      <c r="K190" s="99">
        <f t="shared" si="17"/>
        <v>-381114300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126</v>
      </c>
      <c r="H191" s="99">
        <f t="shared" si="15"/>
        <v>0</v>
      </c>
      <c r="I191" s="99">
        <f t="shared" si="13"/>
        <v>-347873400</v>
      </c>
      <c r="J191" s="99">
        <f t="shared" si="16"/>
        <v>0</v>
      </c>
      <c r="K191" s="99">
        <f t="shared" si="17"/>
        <v>-347873400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121</v>
      </c>
      <c r="H192" s="99">
        <f t="shared" si="15"/>
        <v>1</v>
      </c>
      <c r="I192" s="99">
        <f t="shared" si="13"/>
        <v>120000000</v>
      </c>
      <c r="J192" s="99">
        <f t="shared" si="16"/>
        <v>0</v>
      </c>
      <c r="K192" s="99">
        <f t="shared" si="17"/>
        <v>120000000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120</v>
      </c>
      <c r="H193" s="99">
        <f t="shared" si="15"/>
        <v>0</v>
      </c>
      <c r="I193" s="99">
        <f t="shared" si="13"/>
        <v>-1800000</v>
      </c>
      <c r="J193" s="99">
        <f t="shared" si="16"/>
        <v>0</v>
      </c>
      <c r="K193" s="99">
        <f t="shared" si="17"/>
        <v>-1800000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118</v>
      </c>
      <c r="H194" s="99">
        <f t="shared" si="15"/>
        <v>0</v>
      </c>
      <c r="I194" s="99">
        <f t="shared" si="13"/>
        <v>-116820000</v>
      </c>
      <c r="J194" s="99">
        <f t="shared" si="16"/>
        <v>0</v>
      </c>
      <c r="K194" s="99">
        <f t="shared" si="17"/>
        <v>-116820000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118</v>
      </c>
      <c r="H195" s="99">
        <f t="shared" si="15"/>
        <v>1</v>
      </c>
      <c r="I195" s="99">
        <f t="shared" si="13"/>
        <v>91611000</v>
      </c>
      <c r="J195" s="99">
        <f t="shared" si="16"/>
        <v>0</v>
      </c>
      <c r="K195" s="99">
        <f t="shared" si="17"/>
        <v>91611000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116</v>
      </c>
      <c r="H196" s="99">
        <f t="shared" si="15"/>
        <v>0</v>
      </c>
      <c r="I196" s="99">
        <f t="shared" si="13"/>
        <v>-87058000</v>
      </c>
      <c r="J196" s="99">
        <f t="shared" si="16"/>
        <v>0</v>
      </c>
      <c r="K196" s="99">
        <f t="shared" si="17"/>
        <v>-87058000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114</v>
      </c>
      <c r="H197" s="99">
        <f t="shared" si="15"/>
        <v>1</v>
      </c>
      <c r="I197" s="99">
        <f t="shared" si="13"/>
        <v>79100000</v>
      </c>
      <c r="J197" s="99">
        <f t="shared" si="16"/>
        <v>0</v>
      </c>
      <c r="K197" s="99">
        <f t="shared" si="17"/>
        <v>79100000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114</v>
      </c>
      <c r="H198" s="99">
        <f t="shared" si="15"/>
        <v>0</v>
      </c>
      <c r="I198" s="99">
        <f t="shared" si="13"/>
        <v>-11286000</v>
      </c>
      <c r="J198" s="99">
        <f t="shared" si="16"/>
        <v>0</v>
      </c>
      <c r="K198" s="99">
        <f t="shared" si="17"/>
        <v>-11286000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113</v>
      </c>
      <c r="H199" s="99">
        <f t="shared" si="15"/>
        <v>0</v>
      </c>
      <c r="I199" s="99">
        <f t="shared" si="13"/>
        <v>-23249750</v>
      </c>
      <c r="J199" s="99">
        <f t="shared" si="16"/>
        <v>0</v>
      </c>
      <c r="K199" s="99">
        <f t="shared" si="17"/>
        <v>-23249750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113</v>
      </c>
      <c r="H200" s="99">
        <f t="shared" si="15"/>
        <v>0</v>
      </c>
      <c r="I200" s="99">
        <f t="shared" si="13"/>
        <v>-10735000</v>
      </c>
      <c r="J200" s="99">
        <f t="shared" si="16"/>
        <v>0</v>
      </c>
      <c r="K200" s="99">
        <f t="shared" si="17"/>
        <v>-10735000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110</v>
      </c>
      <c r="H201" s="99">
        <f t="shared" si="15"/>
        <v>1</v>
      </c>
      <c r="I201" s="99">
        <f t="shared" si="13"/>
        <v>5302850000</v>
      </c>
      <c r="J201" s="99">
        <f t="shared" si="16"/>
        <v>0</v>
      </c>
      <c r="K201" s="99">
        <f t="shared" si="17"/>
        <v>5302850000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110</v>
      </c>
      <c r="H202" s="99">
        <f t="shared" si="15"/>
        <v>0</v>
      </c>
      <c r="I202" s="99">
        <f t="shared" si="13"/>
        <v>-330099000</v>
      </c>
      <c r="J202" s="99">
        <f t="shared" si="16"/>
        <v>0</v>
      </c>
      <c r="K202" s="99">
        <f t="shared" si="17"/>
        <v>-330099000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110</v>
      </c>
      <c r="H203" s="99">
        <f t="shared" si="15"/>
        <v>0</v>
      </c>
      <c r="I203" s="99">
        <f t="shared" si="13"/>
        <v>-550000</v>
      </c>
      <c r="J203" s="99">
        <f t="shared" si="16"/>
        <v>0</v>
      </c>
      <c r="K203" s="99">
        <f t="shared" si="17"/>
        <v>-550000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110</v>
      </c>
      <c r="H204" s="99">
        <f t="shared" si="15"/>
        <v>0</v>
      </c>
      <c r="I204" s="99">
        <f t="shared" si="13"/>
        <v>-3685000000</v>
      </c>
      <c r="J204" s="99">
        <f t="shared" si="16"/>
        <v>0</v>
      </c>
      <c r="K204" s="99">
        <f t="shared" si="17"/>
        <v>-3685000000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85" si="19">G206+F205</f>
        <v>109</v>
      </c>
      <c r="H205" s="99">
        <f t="shared" si="15"/>
        <v>0</v>
      </c>
      <c r="I205" s="99">
        <f t="shared" si="13"/>
        <v>-1355415000</v>
      </c>
      <c r="J205" s="99">
        <f t="shared" si="16"/>
        <v>0</v>
      </c>
      <c r="K205" s="99">
        <f t="shared" si="17"/>
        <v>-1355415000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106</v>
      </c>
      <c r="H206" s="99">
        <f t="shared" si="15"/>
        <v>0</v>
      </c>
      <c r="I206" s="99">
        <f t="shared" si="13"/>
        <v>-1961000</v>
      </c>
      <c r="J206" s="99">
        <f t="shared" si="16"/>
        <v>0</v>
      </c>
      <c r="K206" s="99">
        <f t="shared" si="17"/>
        <v>-1961000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104</v>
      </c>
      <c r="H207" s="99">
        <f t="shared" si="15"/>
        <v>1</v>
      </c>
      <c r="I207" s="99">
        <f t="shared" si="13"/>
        <v>1491440</v>
      </c>
      <c r="J207" s="99">
        <f t="shared" ref="J207:J285" si="20">C207*(G207-H207)</f>
        <v>7300022</v>
      </c>
      <c r="K207" s="99">
        <f t="shared" si="17"/>
        <v>-5808582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103</v>
      </c>
      <c r="H208" s="99">
        <f t="shared" si="15"/>
        <v>1</v>
      </c>
      <c r="I208" s="99">
        <f t="shared" si="13"/>
        <v>84660000</v>
      </c>
      <c r="J208" s="99">
        <f t="shared" si="20"/>
        <v>0</v>
      </c>
      <c r="K208" s="99">
        <f t="shared" si="17"/>
        <v>84660000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101</v>
      </c>
      <c r="H209" s="99">
        <f t="shared" si="15"/>
        <v>0</v>
      </c>
      <c r="I209" s="99">
        <f t="shared" si="13"/>
        <v>-5296440</v>
      </c>
      <c r="J209" s="99">
        <f t="shared" si="20"/>
        <v>0</v>
      </c>
      <c r="K209" s="99">
        <f t="shared" si="17"/>
        <v>-5296440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100</v>
      </c>
      <c r="H210" s="99">
        <f t="shared" si="15"/>
        <v>0</v>
      </c>
      <c r="I210" s="99">
        <f t="shared" si="13"/>
        <v>-5110000</v>
      </c>
      <c r="J210" s="99">
        <f t="shared" si="20"/>
        <v>0</v>
      </c>
      <c r="K210" s="99">
        <f t="shared" si="17"/>
        <v>-5110000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99</v>
      </c>
      <c r="H211" s="99">
        <f t="shared" si="15"/>
        <v>0</v>
      </c>
      <c r="I211" s="99">
        <f t="shared" si="13"/>
        <v>-19800000</v>
      </c>
      <c r="J211" s="99">
        <f t="shared" si="20"/>
        <v>0</v>
      </c>
      <c r="K211" s="99">
        <f t="shared" si="17"/>
        <v>-19800000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98</v>
      </c>
      <c r="H212" s="99">
        <f t="shared" si="15"/>
        <v>0</v>
      </c>
      <c r="I212" s="99">
        <f t="shared" si="13"/>
        <v>-2744000</v>
      </c>
      <c r="J212" s="99">
        <f t="shared" si="20"/>
        <v>0</v>
      </c>
      <c r="K212" s="99">
        <f t="shared" si="17"/>
        <v>-2744000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97</v>
      </c>
      <c r="H213" s="99">
        <f t="shared" si="15"/>
        <v>0</v>
      </c>
      <c r="I213" s="99">
        <f t="shared" si="13"/>
        <v>-5732700</v>
      </c>
      <c r="J213" s="99">
        <f t="shared" si="20"/>
        <v>0</v>
      </c>
      <c r="K213" s="99">
        <f t="shared" si="17"/>
        <v>-5732700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96</v>
      </c>
      <c r="H214" s="99">
        <f t="shared" si="15"/>
        <v>0</v>
      </c>
      <c r="I214" s="99">
        <f t="shared" si="13"/>
        <v>-2880000</v>
      </c>
      <c r="J214" s="99">
        <f t="shared" si="20"/>
        <v>0</v>
      </c>
      <c r="K214" s="99">
        <f t="shared" si="17"/>
        <v>-2880000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96</v>
      </c>
      <c r="H215" s="99">
        <f t="shared" si="15"/>
        <v>0</v>
      </c>
      <c r="I215" s="99">
        <f t="shared" si="13"/>
        <v>-17088000</v>
      </c>
      <c r="J215" s="99">
        <f t="shared" si="20"/>
        <v>0</v>
      </c>
      <c r="K215" s="99">
        <f t="shared" si="17"/>
        <v>-17088000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95</v>
      </c>
      <c r="H216" s="99">
        <f t="shared" si="15"/>
        <v>0</v>
      </c>
      <c r="I216" s="99">
        <f t="shared" si="13"/>
        <v>-9082950</v>
      </c>
      <c r="J216" s="99">
        <f t="shared" si="20"/>
        <v>0</v>
      </c>
      <c r="K216" s="99">
        <f t="shared" si="17"/>
        <v>-9082950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92</v>
      </c>
      <c r="H217" s="99">
        <f t="shared" si="15"/>
        <v>0</v>
      </c>
      <c r="I217" s="99">
        <f t="shared" si="13"/>
        <v>-7728000</v>
      </c>
      <c r="J217" s="99">
        <f t="shared" si="20"/>
        <v>0</v>
      </c>
      <c r="K217" s="99">
        <f t="shared" si="17"/>
        <v>-7728000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84" si="21">G219+F218</f>
        <v>90</v>
      </c>
      <c r="H218" s="99">
        <f t="shared" si="15"/>
        <v>0</v>
      </c>
      <c r="I218" s="99">
        <f t="shared" si="13"/>
        <v>-2970000</v>
      </c>
      <c r="J218" s="99">
        <f t="shared" si="20"/>
        <v>0</v>
      </c>
      <c r="K218" s="99">
        <f t="shared" si="17"/>
        <v>-2970000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87</v>
      </c>
      <c r="H219" s="99">
        <f t="shared" si="15"/>
        <v>1</v>
      </c>
      <c r="I219" s="99">
        <f t="shared" si="13"/>
        <v>133128000</v>
      </c>
      <c r="J219" s="99">
        <f t="shared" si="20"/>
        <v>0</v>
      </c>
      <c r="K219" s="99">
        <f t="shared" si="17"/>
        <v>133128000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86</v>
      </c>
      <c r="H220" s="99">
        <f t="shared" si="15"/>
        <v>0</v>
      </c>
      <c r="I220" s="99">
        <f t="shared" si="13"/>
        <v>-120460200</v>
      </c>
      <c r="J220" s="99">
        <f t="shared" si="20"/>
        <v>0</v>
      </c>
      <c r="K220" s="99">
        <f t="shared" si="17"/>
        <v>-120460200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86</v>
      </c>
      <c r="H221" s="99">
        <f t="shared" si="15"/>
        <v>0</v>
      </c>
      <c r="I221" s="99">
        <f t="shared" si="13"/>
        <v>-860000</v>
      </c>
      <c r="J221" s="99">
        <f t="shared" si="20"/>
        <v>0</v>
      </c>
      <c r="K221" s="99">
        <f t="shared" si="17"/>
        <v>-860000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86</v>
      </c>
      <c r="H222" s="99">
        <f t="shared" si="15"/>
        <v>0</v>
      </c>
      <c r="I222" s="99">
        <f t="shared" si="13"/>
        <v>-430000</v>
      </c>
      <c r="J222" s="99">
        <f t="shared" si="20"/>
        <v>-215000</v>
      </c>
      <c r="K222" s="99">
        <f t="shared" si="17"/>
        <v>-215000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80</v>
      </c>
      <c r="H223" s="99">
        <f t="shared" si="15"/>
        <v>0</v>
      </c>
      <c r="I223" s="99">
        <f t="shared" si="13"/>
        <v>-15200000</v>
      </c>
      <c r="J223" s="99">
        <f t="shared" si="20"/>
        <v>0</v>
      </c>
      <c r="K223" s="99">
        <f t="shared" si="17"/>
        <v>-15200000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73</v>
      </c>
      <c r="H224" s="99">
        <f t="shared" si="15"/>
        <v>1</v>
      </c>
      <c r="I224" s="99">
        <f t="shared" si="13"/>
        <v>137592</v>
      </c>
      <c r="J224" s="99">
        <f t="shared" si="20"/>
        <v>4677984</v>
      </c>
      <c r="K224" s="99">
        <f t="shared" si="17"/>
        <v>-4540392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67</v>
      </c>
      <c r="H225" s="99">
        <f t="shared" si="15"/>
        <v>1</v>
      </c>
      <c r="I225" s="99">
        <f t="shared" si="13"/>
        <v>330000000</v>
      </c>
      <c r="J225" s="99">
        <f t="shared" si="20"/>
        <v>0</v>
      </c>
      <c r="K225" s="99">
        <f t="shared" si="17"/>
        <v>330000000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66</v>
      </c>
      <c r="H226" s="99">
        <f t="shared" si="15"/>
        <v>0</v>
      </c>
      <c r="I226" s="99">
        <f t="shared" si="13"/>
        <v>-211200000</v>
      </c>
      <c r="J226" s="99">
        <f t="shared" si="20"/>
        <v>0</v>
      </c>
      <c r="K226" s="99">
        <f t="shared" si="17"/>
        <v>-211200000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66</v>
      </c>
      <c r="H227" s="99">
        <f t="shared" si="15"/>
        <v>1</v>
      </c>
      <c r="I227" s="99">
        <f t="shared" si="13"/>
        <v>156000000</v>
      </c>
      <c r="J227" s="99">
        <f t="shared" si="20"/>
        <v>0</v>
      </c>
      <c r="K227" s="99">
        <f t="shared" si="17"/>
        <v>156000000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64</v>
      </c>
      <c r="H228" s="99">
        <f t="shared" si="15"/>
        <v>0</v>
      </c>
      <c r="I228" s="99">
        <f t="shared" si="13"/>
        <v>-3200000</v>
      </c>
      <c r="J228" s="99">
        <f t="shared" si="20"/>
        <v>0</v>
      </c>
      <c r="K228" s="99">
        <f t="shared" si="17"/>
        <v>-3200000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63</v>
      </c>
      <c r="H229" s="99">
        <f t="shared" si="15"/>
        <v>0</v>
      </c>
      <c r="I229" s="99">
        <f t="shared" si="13"/>
        <v>-258344100</v>
      </c>
      <c r="J229" s="99">
        <f t="shared" si="20"/>
        <v>0</v>
      </c>
      <c r="K229" s="99">
        <f t="shared" si="17"/>
        <v>-258344100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59</v>
      </c>
      <c r="H230" s="99">
        <f t="shared" si="15"/>
        <v>1</v>
      </c>
      <c r="I230" s="99">
        <f t="shared" si="13"/>
        <v>562600000</v>
      </c>
      <c r="J230" s="99">
        <f t="shared" si="20"/>
        <v>0</v>
      </c>
      <c r="K230" s="99">
        <f t="shared" si="17"/>
        <v>562600000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59</v>
      </c>
      <c r="H231" s="99">
        <f t="shared" si="15"/>
        <v>0</v>
      </c>
      <c r="I231" s="99">
        <f t="shared" si="13"/>
        <v>-177053100</v>
      </c>
      <c r="J231" s="99">
        <f t="shared" si="20"/>
        <v>0</v>
      </c>
      <c r="K231" s="99">
        <f t="shared" si="17"/>
        <v>-177053100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58</v>
      </c>
      <c r="H232" s="99">
        <f t="shared" si="15"/>
        <v>0</v>
      </c>
      <c r="I232" s="99">
        <f t="shared" si="13"/>
        <v>-174052200</v>
      </c>
      <c r="J232" s="99">
        <f t="shared" si="20"/>
        <v>0</v>
      </c>
      <c r="K232" s="99">
        <f t="shared" si="17"/>
        <v>-174052200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58</v>
      </c>
      <c r="H233" s="99">
        <f t="shared" si="15"/>
        <v>0</v>
      </c>
      <c r="I233" s="99">
        <f t="shared" si="13"/>
        <v>-32190000</v>
      </c>
      <c r="J233" s="99">
        <f t="shared" si="20"/>
        <v>0</v>
      </c>
      <c r="K233" s="99">
        <f t="shared" si="17"/>
        <v>-32190000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57</v>
      </c>
      <c r="H234" s="99">
        <f t="shared" si="15"/>
        <v>0</v>
      </c>
      <c r="I234" s="99">
        <f t="shared" si="13"/>
        <v>-7886520</v>
      </c>
      <c r="J234" s="99">
        <f t="shared" si="20"/>
        <v>0</v>
      </c>
      <c r="K234" s="99">
        <f t="shared" si="17"/>
        <v>-7886520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56</v>
      </c>
      <c r="H235" s="99">
        <f t="shared" si="15"/>
        <v>0</v>
      </c>
      <c r="I235" s="99">
        <f t="shared" si="13"/>
        <v>-168050400</v>
      </c>
      <c r="J235" s="99">
        <f t="shared" si="20"/>
        <v>0</v>
      </c>
      <c r="K235" s="99">
        <f t="shared" si="17"/>
        <v>-168050400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54</v>
      </c>
      <c r="H236" s="99">
        <f t="shared" si="15"/>
        <v>0</v>
      </c>
      <c r="I236" s="99">
        <f t="shared" si="13"/>
        <v>-2970000</v>
      </c>
      <c r="J236" s="99">
        <f t="shared" si="20"/>
        <v>0</v>
      </c>
      <c r="K236" s="99">
        <f t="shared" si="17"/>
        <v>-2970000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50</v>
      </c>
      <c r="H237" s="99">
        <f t="shared" si="15"/>
        <v>1</v>
      </c>
      <c r="I237" s="99">
        <f t="shared" si="13"/>
        <v>295715000</v>
      </c>
      <c r="J237" s="99">
        <f t="shared" si="20"/>
        <v>0</v>
      </c>
      <c r="K237" s="99">
        <f t="shared" si="17"/>
        <v>295715000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48</v>
      </c>
      <c r="H238" s="99">
        <f t="shared" si="15"/>
        <v>0</v>
      </c>
      <c r="I238" s="99">
        <f t="shared" si="13"/>
        <v>-360000</v>
      </c>
      <c r="J238" s="99">
        <f t="shared" si="20"/>
        <v>0</v>
      </c>
      <c r="K238" s="99">
        <f t="shared" si="17"/>
        <v>-360000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47</v>
      </c>
      <c r="H239" s="99">
        <f t="shared" si="15"/>
        <v>0</v>
      </c>
      <c r="I239" s="99">
        <f t="shared" si="13"/>
        <v>-192630581</v>
      </c>
      <c r="J239" s="99">
        <f t="shared" si="20"/>
        <v>0</v>
      </c>
      <c r="K239" s="99">
        <f t="shared" si="17"/>
        <v>-192630581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47</v>
      </c>
      <c r="H240" s="99">
        <f t="shared" si="15"/>
        <v>0</v>
      </c>
      <c r="I240" s="99">
        <f t="shared" si="13"/>
        <v>-1561575</v>
      </c>
      <c r="J240" s="99">
        <f t="shared" si="20"/>
        <v>0</v>
      </c>
      <c r="K240" s="99">
        <f t="shared" si="17"/>
        <v>-1561575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47</v>
      </c>
      <c r="H241" s="99">
        <f t="shared" si="15"/>
        <v>0</v>
      </c>
      <c r="I241" s="99">
        <f t="shared" si="13"/>
        <v>-89065000</v>
      </c>
      <c r="J241" s="99">
        <f t="shared" si="20"/>
        <v>0</v>
      </c>
      <c r="K241" s="99">
        <f t="shared" si="17"/>
        <v>-89065000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40</v>
      </c>
      <c r="H242" s="99">
        <f t="shared" si="15"/>
        <v>1</v>
      </c>
      <c r="I242" s="99">
        <f t="shared" si="13"/>
        <v>97500000</v>
      </c>
      <c r="J242" s="99">
        <f t="shared" si="20"/>
        <v>0</v>
      </c>
      <c r="K242" s="99">
        <f t="shared" si="17"/>
        <v>97500000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38</v>
      </c>
      <c r="H243" s="99">
        <f t="shared" si="15"/>
        <v>0</v>
      </c>
      <c r="I243" s="99">
        <f t="shared" si="13"/>
        <v>-95000000</v>
      </c>
      <c r="J243" s="99">
        <f t="shared" si="20"/>
        <v>0</v>
      </c>
      <c r="K243" s="99">
        <f t="shared" si="17"/>
        <v>-95000000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36</v>
      </c>
      <c r="H244" s="99">
        <f t="shared" si="15"/>
        <v>1</v>
      </c>
      <c r="I244" s="99">
        <f t="shared" si="13"/>
        <v>38500000</v>
      </c>
      <c r="J244" s="99">
        <f t="shared" si="20"/>
        <v>0</v>
      </c>
      <c r="K244" s="99">
        <f t="shared" si="17"/>
        <v>38500000</v>
      </c>
    </row>
    <row r="245" spans="1:13">
      <c r="A245" s="99" t="s">
        <v>4455</v>
      </c>
      <c r="B245" s="18">
        <v>3000000</v>
      </c>
      <c r="C245" s="18">
        <v>0</v>
      </c>
      <c r="D245" s="18">
        <f t="shared" si="18"/>
        <v>3000000</v>
      </c>
      <c r="E245" s="99" t="s">
        <v>4457</v>
      </c>
      <c r="F245" s="99">
        <v>2</v>
      </c>
      <c r="G245" s="36">
        <f t="shared" si="21"/>
        <v>34</v>
      </c>
      <c r="H245" s="99">
        <f t="shared" si="15"/>
        <v>1</v>
      </c>
      <c r="I245" s="99">
        <f t="shared" si="13"/>
        <v>99000000</v>
      </c>
      <c r="J245" s="99">
        <f t="shared" si="20"/>
        <v>0</v>
      </c>
      <c r="K245" s="99">
        <f t="shared" si="17"/>
        <v>99000000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4490</v>
      </c>
      <c r="F246" s="99">
        <v>0</v>
      </c>
      <c r="G246" s="36">
        <f t="shared" si="21"/>
        <v>32</v>
      </c>
      <c r="H246" s="99">
        <f t="shared" si="15"/>
        <v>0</v>
      </c>
      <c r="I246" s="99">
        <f t="shared" si="13"/>
        <v>-129302400</v>
      </c>
      <c r="J246" s="99">
        <f t="shared" si="20"/>
        <v>0</v>
      </c>
      <c r="K246" s="99">
        <f t="shared" si="17"/>
        <v>-129302400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32</v>
      </c>
      <c r="H247" s="99">
        <f t="shared" si="15"/>
        <v>1</v>
      </c>
      <c r="I247" s="99">
        <f t="shared" si="13"/>
        <v>15190000</v>
      </c>
      <c r="J247" s="99">
        <f t="shared" si="20"/>
        <v>0</v>
      </c>
      <c r="K247" s="99">
        <f t="shared" si="17"/>
        <v>15190000</v>
      </c>
    </row>
    <row r="248" spans="1:13">
      <c r="A248" s="99" t="s">
        <v>4494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31</v>
      </c>
      <c r="H248" s="99">
        <f t="shared" si="15"/>
        <v>1</v>
      </c>
      <c r="I248" s="99">
        <f t="shared" si="13"/>
        <v>42000000</v>
      </c>
      <c r="J248" s="99">
        <f t="shared" si="20"/>
        <v>0</v>
      </c>
      <c r="K248" s="99">
        <f t="shared" si="17"/>
        <v>42000000</v>
      </c>
      <c r="M248" t="s">
        <v>25</v>
      </c>
    </row>
    <row r="249" spans="1:13">
      <c r="A249" s="99" t="s">
        <v>4494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31</v>
      </c>
      <c r="H249" s="99">
        <f t="shared" si="15"/>
        <v>0</v>
      </c>
      <c r="I249" s="99">
        <f t="shared" si="13"/>
        <v>-46500000</v>
      </c>
      <c r="J249" s="99">
        <f t="shared" si="20"/>
        <v>0</v>
      </c>
      <c r="K249" s="99">
        <f t="shared" si="17"/>
        <v>-46500000</v>
      </c>
    </row>
    <row r="250" spans="1:13">
      <c r="A250" s="99" t="s">
        <v>4501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30</v>
      </c>
      <c r="H250" s="99">
        <f t="shared" si="15"/>
        <v>0</v>
      </c>
      <c r="I250" s="99">
        <f t="shared" si="13"/>
        <v>-3000000</v>
      </c>
      <c r="J250" s="99">
        <f t="shared" si="20"/>
        <v>0</v>
      </c>
      <c r="K250" s="99">
        <f t="shared" si="17"/>
        <v>-3000000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29</v>
      </c>
      <c r="H251" s="99">
        <f t="shared" si="15"/>
        <v>0</v>
      </c>
      <c r="I251" s="99">
        <f t="shared" si="13"/>
        <v>-403100</v>
      </c>
      <c r="J251" s="99">
        <f t="shared" si="20"/>
        <v>0</v>
      </c>
      <c r="K251" s="99">
        <f t="shared" si="17"/>
        <v>-403100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29</v>
      </c>
      <c r="H252" s="99">
        <f t="shared" si="15"/>
        <v>1</v>
      </c>
      <c r="I252" s="99">
        <f t="shared" si="13"/>
        <v>8400000</v>
      </c>
      <c r="J252" s="99">
        <f t="shared" si="20"/>
        <v>0</v>
      </c>
      <c r="K252" s="99">
        <f t="shared" si="17"/>
        <v>8400000</v>
      </c>
    </row>
    <row r="253" spans="1:13">
      <c r="A253" s="99" t="s">
        <v>4509</v>
      </c>
      <c r="B253" s="18">
        <v>12000000</v>
      </c>
      <c r="C253" s="18">
        <v>0</v>
      </c>
      <c r="D253" s="18">
        <f t="shared" si="18"/>
        <v>12000000</v>
      </c>
      <c r="E253" s="99" t="s">
        <v>4510</v>
      </c>
      <c r="F253" s="99">
        <v>1</v>
      </c>
      <c r="G253" s="36">
        <f t="shared" si="21"/>
        <v>27</v>
      </c>
      <c r="H253" s="99">
        <f t="shared" si="15"/>
        <v>1</v>
      </c>
      <c r="I253" s="99">
        <f t="shared" si="13"/>
        <v>312000000</v>
      </c>
      <c r="J253" s="99">
        <f t="shared" si="20"/>
        <v>0</v>
      </c>
      <c r="K253" s="99">
        <f t="shared" si="17"/>
        <v>312000000</v>
      </c>
    </row>
    <row r="254" spans="1:13">
      <c r="A254" s="99" t="s">
        <v>4511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26</v>
      </c>
      <c r="H254" s="99">
        <f t="shared" si="15"/>
        <v>1</v>
      </c>
      <c r="I254" s="99">
        <f t="shared" si="13"/>
        <v>75000000</v>
      </c>
      <c r="J254" s="99">
        <f t="shared" si="20"/>
        <v>0</v>
      </c>
      <c r="K254" s="99">
        <f t="shared" si="17"/>
        <v>75000000</v>
      </c>
    </row>
    <row r="255" spans="1:13">
      <c r="A255" s="99" t="s">
        <v>4513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25</v>
      </c>
      <c r="H255" s="99">
        <f t="shared" si="15"/>
        <v>0</v>
      </c>
      <c r="I255" s="99">
        <f t="shared" si="13"/>
        <v>-350000000</v>
      </c>
      <c r="J255" s="99">
        <f t="shared" si="20"/>
        <v>0</v>
      </c>
      <c r="K255" s="99">
        <f t="shared" si="17"/>
        <v>-350000000</v>
      </c>
    </row>
    <row r="256" spans="1:13">
      <c r="A256" s="99" t="s">
        <v>4515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24</v>
      </c>
      <c r="H256" s="99">
        <f t="shared" si="15"/>
        <v>0</v>
      </c>
      <c r="I256" s="99">
        <f t="shared" si="13"/>
        <v>-2999256</v>
      </c>
      <c r="J256" s="99">
        <f t="shared" si="20"/>
        <v>0</v>
      </c>
      <c r="K256" s="99">
        <f t="shared" si="17"/>
        <v>-2999256</v>
      </c>
    </row>
    <row r="257" spans="1:13">
      <c r="A257" s="99" t="s">
        <v>4515</v>
      </c>
      <c r="B257" s="18">
        <v>0</v>
      </c>
      <c r="C257" s="39">
        <v>-7968789</v>
      </c>
      <c r="D257" s="39">
        <f t="shared" si="18"/>
        <v>7968789</v>
      </c>
      <c r="E257" s="99" t="s">
        <v>4517</v>
      </c>
      <c r="F257" s="99">
        <v>1</v>
      </c>
      <c r="G257" s="36">
        <f t="shared" si="21"/>
        <v>24</v>
      </c>
      <c r="H257" s="99">
        <f t="shared" si="15"/>
        <v>0</v>
      </c>
      <c r="I257" s="99">
        <f t="shared" si="13"/>
        <v>0</v>
      </c>
      <c r="J257" s="99">
        <f t="shared" si="20"/>
        <v>-191250936</v>
      </c>
      <c r="K257" s="99">
        <f t="shared" si="17"/>
        <v>191250936</v>
      </c>
    </row>
    <row r="258" spans="1:13">
      <c r="A258" s="99" t="s">
        <v>4519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23</v>
      </c>
      <c r="H258" s="99">
        <f t="shared" si="15"/>
        <v>0</v>
      </c>
      <c r="I258" s="99">
        <f t="shared" si="13"/>
        <v>-30199000</v>
      </c>
      <c r="J258" s="99">
        <f t="shared" si="20"/>
        <v>0</v>
      </c>
      <c r="K258" s="99">
        <f t="shared" si="17"/>
        <v>-30199000</v>
      </c>
    </row>
    <row r="259" spans="1:13">
      <c r="A259" s="99" t="s">
        <v>4528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20</v>
      </c>
      <c r="H259" s="99">
        <f t="shared" si="15"/>
        <v>1</v>
      </c>
      <c r="I259" s="99">
        <f t="shared" si="13"/>
        <v>38000000</v>
      </c>
      <c r="J259" s="99">
        <f t="shared" si="20"/>
        <v>0</v>
      </c>
      <c r="K259" s="99">
        <f t="shared" si="17"/>
        <v>38000000</v>
      </c>
      <c r="M259" t="s">
        <v>25</v>
      </c>
    </row>
    <row r="260" spans="1:13">
      <c r="A260" s="99" t="s">
        <v>4529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19</v>
      </c>
      <c r="H260" s="99">
        <f t="shared" si="15"/>
        <v>0</v>
      </c>
      <c r="I260" s="99">
        <f t="shared" si="13"/>
        <v>-36100000</v>
      </c>
      <c r="J260" s="99">
        <f t="shared" si="20"/>
        <v>0</v>
      </c>
      <c r="K260" s="99">
        <f t="shared" si="17"/>
        <v>-36100000</v>
      </c>
    </row>
    <row r="261" spans="1:13">
      <c r="A261" s="99" t="s">
        <v>4529</v>
      </c>
      <c r="B261" s="18">
        <v>-100500</v>
      </c>
      <c r="C261" s="18">
        <v>0</v>
      </c>
      <c r="D261" s="18">
        <f t="shared" si="18"/>
        <v>-100500</v>
      </c>
      <c r="E261" s="99" t="s">
        <v>4532</v>
      </c>
      <c r="F261" s="99">
        <v>0</v>
      </c>
      <c r="G261" s="36">
        <f t="shared" si="21"/>
        <v>19</v>
      </c>
      <c r="H261" s="99">
        <f t="shared" si="15"/>
        <v>0</v>
      </c>
      <c r="I261" s="99">
        <f t="shared" si="13"/>
        <v>-1909500</v>
      </c>
      <c r="J261" s="99">
        <f t="shared" si="20"/>
        <v>0</v>
      </c>
      <c r="K261" s="99">
        <f t="shared" si="17"/>
        <v>-1909500</v>
      </c>
    </row>
    <row r="262" spans="1:13">
      <c r="A262" s="99" t="s">
        <v>4529</v>
      </c>
      <c r="B262" s="18">
        <v>-68670</v>
      </c>
      <c r="C262" s="18">
        <v>0</v>
      </c>
      <c r="D262" s="18">
        <f t="shared" si="18"/>
        <v>-68670</v>
      </c>
      <c r="E262" s="99" t="s">
        <v>4537</v>
      </c>
      <c r="F262" s="99">
        <v>1</v>
      </c>
      <c r="G262" s="36">
        <f t="shared" si="21"/>
        <v>19</v>
      </c>
      <c r="H262" s="99">
        <f t="shared" si="15"/>
        <v>0</v>
      </c>
      <c r="I262" s="99">
        <f t="shared" si="13"/>
        <v>-1304730</v>
      </c>
      <c r="J262" s="99">
        <f t="shared" si="20"/>
        <v>0</v>
      </c>
      <c r="K262" s="99">
        <f t="shared" si="17"/>
        <v>-1304730</v>
      </c>
    </row>
    <row r="263" spans="1:13">
      <c r="A263" s="99" t="s">
        <v>4533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18</v>
      </c>
      <c r="H263" s="99">
        <f t="shared" si="15"/>
        <v>0</v>
      </c>
      <c r="I263" s="99">
        <f t="shared" si="13"/>
        <v>-2134800</v>
      </c>
      <c r="J263" s="99">
        <f t="shared" si="20"/>
        <v>0</v>
      </c>
      <c r="K263" s="99">
        <f t="shared" si="17"/>
        <v>-2134800</v>
      </c>
      <c r="L263" t="s">
        <v>25</v>
      </c>
    </row>
    <row r="264" spans="1:13">
      <c r="A264" s="99" t="s">
        <v>4548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16</v>
      </c>
      <c r="H264" s="99">
        <f t="shared" si="15"/>
        <v>1</v>
      </c>
      <c r="I264" s="99">
        <f t="shared" si="13"/>
        <v>101685000</v>
      </c>
      <c r="J264" s="99">
        <f t="shared" si="20"/>
        <v>0</v>
      </c>
      <c r="K264" s="99">
        <f t="shared" si="17"/>
        <v>101685000</v>
      </c>
    </row>
    <row r="265" spans="1:13">
      <c r="A265" s="99" t="s">
        <v>4548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16</v>
      </c>
      <c r="H265" s="99">
        <f t="shared" si="15"/>
        <v>0</v>
      </c>
      <c r="I265" s="99">
        <f t="shared" si="13"/>
        <v>-102400000</v>
      </c>
      <c r="J265" s="99">
        <f t="shared" si="20"/>
        <v>0</v>
      </c>
      <c r="K265" s="99">
        <f t="shared" si="17"/>
        <v>-102400000</v>
      </c>
    </row>
    <row r="266" spans="1:13">
      <c r="A266" s="99" t="s">
        <v>4548</v>
      </c>
      <c r="B266" s="18">
        <v>-389000</v>
      </c>
      <c r="C266" s="18">
        <v>0</v>
      </c>
      <c r="D266" s="18">
        <f t="shared" si="18"/>
        <v>-389000</v>
      </c>
      <c r="E266" s="99" t="s">
        <v>4551</v>
      </c>
      <c r="F266" s="99">
        <v>4</v>
      </c>
      <c r="G266" s="36">
        <f t="shared" si="21"/>
        <v>16</v>
      </c>
      <c r="H266" s="99">
        <f t="shared" si="15"/>
        <v>0</v>
      </c>
      <c r="I266" s="99">
        <f t="shared" si="13"/>
        <v>-6224000</v>
      </c>
      <c r="J266" s="99">
        <f t="shared" si="20"/>
        <v>0</v>
      </c>
      <c r="K266" s="99">
        <f t="shared" si="17"/>
        <v>-6224000</v>
      </c>
      <c r="M266" t="s">
        <v>25</v>
      </c>
    </row>
    <row r="267" spans="1:13">
      <c r="A267" s="99" t="s">
        <v>4576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12</v>
      </c>
      <c r="H267" s="99">
        <f t="shared" si="15"/>
        <v>1</v>
      </c>
      <c r="I267" s="99">
        <f t="shared" si="13"/>
        <v>2420000</v>
      </c>
      <c r="J267" s="99">
        <f t="shared" si="20"/>
        <v>0</v>
      </c>
      <c r="K267" s="99">
        <f t="shared" si="17"/>
        <v>2420000</v>
      </c>
    </row>
    <row r="268" spans="1:13">
      <c r="A268" s="99" t="s">
        <v>4577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12</v>
      </c>
      <c r="H268" s="99">
        <f t="shared" si="15"/>
        <v>0</v>
      </c>
      <c r="I268" s="99">
        <f t="shared" si="13"/>
        <v>-1312680</v>
      </c>
      <c r="J268" s="99">
        <f t="shared" si="20"/>
        <v>0</v>
      </c>
      <c r="K268" s="99">
        <f t="shared" si="17"/>
        <v>-1312680</v>
      </c>
    </row>
    <row r="269" spans="1:13">
      <c r="A269" s="99" t="s">
        <v>4580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10</v>
      </c>
      <c r="H269" s="99">
        <f t="shared" si="15"/>
        <v>1</v>
      </c>
      <c r="I269" s="99">
        <f t="shared" si="13"/>
        <v>900000</v>
      </c>
      <c r="J269" s="99">
        <f t="shared" si="20"/>
        <v>0</v>
      </c>
      <c r="K269" s="99">
        <f t="shared" si="17"/>
        <v>900000</v>
      </c>
    </row>
    <row r="270" spans="1:13">
      <c r="A270" s="99" t="s">
        <v>4580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10</v>
      </c>
      <c r="H270" s="99">
        <f t="shared" si="15"/>
        <v>1</v>
      </c>
      <c r="I270" s="99">
        <f t="shared" si="13"/>
        <v>23400000</v>
      </c>
      <c r="J270" s="99">
        <f t="shared" si="20"/>
        <v>0</v>
      </c>
      <c r="K270" s="99">
        <f t="shared" si="17"/>
        <v>23400000</v>
      </c>
      <c r="L270" t="s">
        <v>25</v>
      </c>
    </row>
    <row r="271" spans="1:13">
      <c r="A271" s="99" t="s">
        <v>4587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9</v>
      </c>
      <c r="H271" s="99">
        <f t="shared" si="15"/>
        <v>1</v>
      </c>
      <c r="I271" s="99">
        <f t="shared" si="13"/>
        <v>35200000</v>
      </c>
      <c r="J271" s="99">
        <f t="shared" si="20"/>
        <v>0</v>
      </c>
      <c r="K271" s="99">
        <f t="shared" si="17"/>
        <v>35200000</v>
      </c>
    </row>
    <row r="272" spans="1:13">
      <c r="A272" s="99" t="s">
        <v>4587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9</v>
      </c>
      <c r="H272" s="99">
        <f t="shared" si="15"/>
        <v>0</v>
      </c>
      <c r="I272" s="99">
        <f t="shared" si="13"/>
        <v>-855000</v>
      </c>
      <c r="J272" s="99">
        <f t="shared" si="20"/>
        <v>0</v>
      </c>
      <c r="K272" s="99">
        <f t="shared" si="17"/>
        <v>-855000</v>
      </c>
    </row>
    <row r="273" spans="1:11">
      <c r="A273" s="99" t="s">
        <v>4592</v>
      </c>
      <c r="B273" s="18">
        <v>-900000</v>
      </c>
      <c r="C273" s="18">
        <v>0</v>
      </c>
      <c r="D273" s="18">
        <f t="shared" si="18"/>
        <v>-900000</v>
      </c>
      <c r="E273" s="99" t="s">
        <v>4600</v>
      </c>
      <c r="F273" s="99">
        <v>1</v>
      </c>
      <c r="G273" s="36">
        <f t="shared" si="21"/>
        <v>8</v>
      </c>
      <c r="H273" s="99">
        <f t="shared" si="15"/>
        <v>0</v>
      </c>
      <c r="I273" s="99">
        <f t="shared" si="13"/>
        <v>-7200000</v>
      </c>
      <c r="J273" s="99">
        <f t="shared" si="20"/>
        <v>0</v>
      </c>
      <c r="K273" s="99">
        <f t="shared" si="17"/>
        <v>-7200000</v>
      </c>
    </row>
    <row r="274" spans="1:11">
      <c r="A274" s="99" t="s">
        <v>4597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7</v>
      </c>
      <c r="H274" s="99">
        <f t="shared" si="15"/>
        <v>1</v>
      </c>
      <c r="I274" s="99">
        <f t="shared" si="13"/>
        <v>15000000</v>
      </c>
      <c r="J274" s="99">
        <f t="shared" si="20"/>
        <v>0</v>
      </c>
      <c r="K274" s="99">
        <f t="shared" si="17"/>
        <v>15000000</v>
      </c>
    </row>
    <row r="275" spans="1:11">
      <c r="A275" s="99" t="s">
        <v>4597</v>
      </c>
      <c r="B275" s="18">
        <v>-1287000</v>
      </c>
      <c r="C275" s="18">
        <v>0</v>
      </c>
      <c r="D275" s="18">
        <f t="shared" si="18"/>
        <v>-1287000</v>
      </c>
      <c r="E275" s="99" t="s">
        <v>4598</v>
      </c>
      <c r="F275" s="99">
        <v>2</v>
      </c>
      <c r="G275" s="36">
        <f t="shared" si="21"/>
        <v>7</v>
      </c>
      <c r="H275" s="99">
        <f t="shared" si="15"/>
        <v>0</v>
      </c>
      <c r="I275" s="99">
        <f t="shared" si="13"/>
        <v>-9009000</v>
      </c>
      <c r="J275" s="99">
        <f t="shared" si="20"/>
        <v>0</v>
      </c>
      <c r="K275" s="99">
        <f t="shared" si="17"/>
        <v>-9009000</v>
      </c>
    </row>
    <row r="276" spans="1:11">
      <c r="A276" s="99" t="s">
        <v>4594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5</v>
      </c>
      <c r="H276" s="99">
        <f t="shared" si="15"/>
        <v>1</v>
      </c>
      <c r="I276" s="99">
        <f t="shared" si="13"/>
        <v>15200000</v>
      </c>
      <c r="J276" s="99">
        <f t="shared" si="20"/>
        <v>0</v>
      </c>
      <c r="K276" s="99">
        <f t="shared" si="17"/>
        <v>15200000</v>
      </c>
    </row>
    <row r="277" spans="1:11">
      <c r="A277" s="99" t="s">
        <v>4608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4</v>
      </c>
      <c r="H277" s="99">
        <f t="shared" si="15"/>
        <v>1</v>
      </c>
      <c r="I277" s="99">
        <f t="shared" si="13"/>
        <v>63000000</v>
      </c>
      <c r="J277" s="99">
        <f t="shared" si="20"/>
        <v>0</v>
      </c>
      <c r="K277" s="99">
        <f t="shared" si="17"/>
        <v>63000000</v>
      </c>
    </row>
    <row r="278" spans="1:11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</v>
      </c>
      <c r="H278" s="99">
        <f t="shared" si="15"/>
        <v>1</v>
      </c>
      <c r="I278" s="99">
        <f t="shared" si="13"/>
        <v>6000000</v>
      </c>
      <c r="J278" s="99">
        <f t="shared" si="20"/>
        <v>0</v>
      </c>
      <c r="K278" s="99">
        <f t="shared" si="17"/>
        <v>6000000</v>
      </c>
    </row>
    <row r="279" spans="1:11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</v>
      </c>
      <c r="H279" s="99">
        <f t="shared" si="15"/>
        <v>1</v>
      </c>
      <c r="I279" s="99">
        <f t="shared" si="13"/>
        <v>4000000</v>
      </c>
      <c r="J279" s="99">
        <f t="shared" si="20"/>
        <v>0</v>
      </c>
      <c r="K279" s="99">
        <f t="shared" si="17"/>
        <v>4000000</v>
      </c>
    </row>
    <row r="280" spans="1:11">
      <c r="A280" s="99" t="s">
        <v>4624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</v>
      </c>
      <c r="H280" s="99">
        <f t="shared" si="15"/>
        <v>0</v>
      </c>
      <c r="I280" s="99">
        <f t="shared" si="13"/>
        <v>-4000000</v>
      </c>
      <c r="J280" s="99">
        <f t="shared" si="20"/>
        <v>0</v>
      </c>
      <c r="K280" s="99">
        <f t="shared" si="17"/>
        <v>-4000000</v>
      </c>
    </row>
    <row r="281" spans="1:11">
      <c r="A281" s="99" t="s">
        <v>4628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1</v>
      </c>
      <c r="G281" s="36">
        <f t="shared" si="21"/>
        <v>1</v>
      </c>
      <c r="H281" s="99">
        <f t="shared" si="15"/>
        <v>0</v>
      </c>
      <c r="I281" s="99">
        <f t="shared" si="13"/>
        <v>-10000000</v>
      </c>
      <c r="J281" s="99">
        <f t="shared" si="20"/>
        <v>0</v>
      </c>
      <c r="K281" s="99">
        <f t="shared" si="17"/>
        <v>-10000000</v>
      </c>
    </row>
    <row r="282" spans="1:11">
      <c r="A282" s="99"/>
      <c r="B282" s="18"/>
      <c r="C282" s="18"/>
      <c r="D282" s="18"/>
      <c r="E282" s="99"/>
      <c r="F282" s="99"/>
      <c r="G282" s="36">
        <f t="shared" si="21"/>
        <v>0</v>
      </c>
      <c r="H282" s="99">
        <f t="shared" si="15"/>
        <v>0</v>
      </c>
      <c r="I282" s="99">
        <f t="shared" si="13"/>
        <v>0</v>
      </c>
      <c r="J282" s="99">
        <f t="shared" si="20"/>
        <v>0</v>
      </c>
      <c r="K282" s="99">
        <f t="shared" si="17"/>
        <v>0</v>
      </c>
    </row>
    <row r="283" spans="1:11">
      <c r="A283" s="99"/>
      <c r="B283" s="18"/>
      <c r="C283" s="18"/>
      <c r="D283" s="18"/>
      <c r="E283" s="99"/>
      <c r="F283" s="99"/>
      <c r="G283" s="36">
        <f t="shared" si="21"/>
        <v>0</v>
      </c>
      <c r="H283" s="99">
        <f t="shared" si="15"/>
        <v>0</v>
      </c>
      <c r="I283" s="99">
        <f t="shared" si="13"/>
        <v>0</v>
      </c>
      <c r="J283" s="99">
        <f t="shared" si="20"/>
        <v>0</v>
      </c>
      <c r="K283" s="99">
        <f t="shared" si="17"/>
        <v>0</v>
      </c>
    </row>
    <row r="284" spans="1:11">
      <c r="A284" s="99"/>
      <c r="B284" s="18"/>
      <c r="C284" s="18"/>
      <c r="D284" s="18"/>
      <c r="E284" s="99"/>
      <c r="F284" s="99"/>
      <c r="G284" s="36">
        <f t="shared" si="21"/>
        <v>0</v>
      </c>
      <c r="H284" s="99">
        <f t="shared" si="15"/>
        <v>0</v>
      </c>
      <c r="I284" s="99">
        <f t="shared" si="13"/>
        <v>0</v>
      </c>
      <c r="J284" s="99">
        <f t="shared" si="20"/>
        <v>0</v>
      </c>
      <c r="K284" s="99">
        <f t="shared" si="17"/>
        <v>0</v>
      </c>
    </row>
    <row r="285" spans="1:11">
      <c r="A285" s="11"/>
      <c r="B285" s="18"/>
      <c r="C285" s="18"/>
      <c r="D285" s="18">
        <f t="shared" si="18"/>
        <v>0</v>
      </c>
      <c r="E285" s="11"/>
      <c r="F285" s="11">
        <v>0</v>
      </c>
      <c r="G285" s="36">
        <f t="shared" si="19"/>
        <v>0</v>
      </c>
      <c r="H285" s="99">
        <f t="shared" si="15"/>
        <v>0</v>
      </c>
      <c r="I285" s="99">
        <f t="shared" si="13"/>
        <v>0</v>
      </c>
      <c r="J285" s="99">
        <f t="shared" si="20"/>
        <v>0</v>
      </c>
      <c r="K285" s="99">
        <f t="shared" si="17"/>
        <v>0</v>
      </c>
    </row>
    <row r="286" spans="1:11">
      <c r="A286" s="11"/>
      <c r="B286" s="29">
        <f>SUM(B2:B285)</f>
        <v>25236041</v>
      </c>
      <c r="C286" s="29">
        <f>SUM(C2:C285)</f>
        <v>0</v>
      </c>
      <c r="D286" s="29">
        <f>SUM(D2:D285)</f>
        <v>25236041</v>
      </c>
      <c r="E286" s="11"/>
      <c r="F286" s="11"/>
      <c r="G286" s="11"/>
      <c r="H286" s="11"/>
      <c r="I286" s="29">
        <f>SUM(I2:I285)</f>
        <v>18960399425</v>
      </c>
      <c r="J286" s="29">
        <f>SUM(J2:J285)</f>
        <v>8687685429</v>
      </c>
      <c r="K286" s="29">
        <f>SUM(K2:K285)</f>
        <v>10272713996</v>
      </c>
    </row>
    <row r="287" spans="1:11">
      <c r="A287" s="11"/>
      <c r="B287" s="11" t="s">
        <v>283</v>
      </c>
      <c r="C287" s="11" t="s">
        <v>488</v>
      </c>
      <c r="D287" s="11" t="s">
        <v>489</v>
      </c>
      <c r="E287" s="11"/>
      <c r="F287" s="11"/>
      <c r="G287" s="11"/>
      <c r="H287" s="11"/>
      <c r="I287" s="11" t="s">
        <v>485</v>
      </c>
      <c r="J287" s="11" t="s">
        <v>486</v>
      </c>
      <c r="K287" s="11" t="s">
        <v>487</v>
      </c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3">
        <f>I286/G2</f>
        <v>18998396.217434868</v>
      </c>
      <c r="J289" s="29">
        <f>J286/G2</f>
        <v>8705095.6202404816</v>
      </c>
      <c r="K289" s="29">
        <f>K286/G2</f>
        <v>10293300.597194389</v>
      </c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 t="s">
        <v>491</v>
      </c>
      <c r="J290" s="11" t="s">
        <v>492</v>
      </c>
      <c r="K290" s="11" t="s">
        <v>493</v>
      </c>
    </row>
    <row r="293" spans="1:11" ht="30">
      <c r="B293" s="22" t="s">
        <v>854</v>
      </c>
      <c r="D293" s="98">
        <f>D286-D151+D152</f>
        <v>26432680</v>
      </c>
      <c r="G293" t="s">
        <v>25</v>
      </c>
      <c r="J293">
        <f>J286/I286*1448696</f>
        <v>663794.83090718614</v>
      </c>
      <c r="K293">
        <f>K286/I286*1448696</f>
        <v>784901.16909281397</v>
      </c>
    </row>
    <row r="294" spans="1:11">
      <c r="B294" s="7"/>
    </row>
    <row r="295" spans="1:11">
      <c r="B295" s="7"/>
      <c r="I295" t="s">
        <v>25</v>
      </c>
    </row>
    <row r="296" spans="1:11">
      <c r="I29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4608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4455</v>
      </c>
      <c r="B6" s="18">
        <v>3000000</v>
      </c>
      <c r="C6" s="18">
        <v>0</v>
      </c>
      <c r="D6" s="113">
        <f t="shared" si="0"/>
        <v>3000000</v>
      </c>
      <c r="E6" s="19" t="s">
        <v>4456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4486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4494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4494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4501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4509</v>
      </c>
      <c r="B16" s="18">
        <v>12000000</v>
      </c>
      <c r="C16" s="18">
        <v>0</v>
      </c>
      <c r="D16" s="113">
        <f t="shared" si="0"/>
        <v>12000000</v>
      </c>
      <c r="E16" s="20" t="s">
        <v>4510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4511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4513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4515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4515</v>
      </c>
      <c r="B20" s="18">
        <v>0</v>
      </c>
      <c r="C20" s="18">
        <v>-8034286</v>
      </c>
      <c r="D20" s="113">
        <f t="shared" si="0"/>
        <v>8034286</v>
      </c>
      <c r="E20" s="19" t="s">
        <v>4517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4515</v>
      </c>
      <c r="B21" s="18">
        <v>-10000</v>
      </c>
      <c r="C21" s="18">
        <v>0</v>
      </c>
      <c r="D21" s="113">
        <f t="shared" si="0"/>
        <v>-10000</v>
      </c>
      <c r="E21" s="19" t="s">
        <v>4518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4519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4528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4529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4529</v>
      </c>
      <c r="B25" s="18">
        <v>-100500</v>
      </c>
      <c r="C25" s="18">
        <v>0</v>
      </c>
      <c r="D25" s="113">
        <f t="shared" si="0"/>
        <v>-100500</v>
      </c>
      <c r="E25" s="19" t="s">
        <v>4532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4529</v>
      </c>
      <c r="B26" s="18">
        <v>-68670</v>
      </c>
      <c r="C26" s="18">
        <v>0</v>
      </c>
      <c r="D26" s="113">
        <f t="shared" si="0"/>
        <v>-68670</v>
      </c>
      <c r="E26" s="19" t="s">
        <v>4537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4533</v>
      </c>
      <c r="B27" s="18">
        <v>-118600</v>
      </c>
      <c r="C27" s="18">
        <v>0</v>
      </c>
      <c r="D27" s="113">
        <f t="shared" si="0"/>
        <v>-118600</v>
      </c>
      <c r="E27" s="19" t="s">
        <v>4539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4548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4548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4548</v>
      </c>
      <c r="B30" s="18">
        <v>-389000</v>
      </c>
      <c r="C30" s="18">
        <v>0</v>
      </c>
      <c r="D30" s="113">
        <f t="shared" si="0"/>
        <v>-389000</v>
      </c>
      <c r="E30" s="19" t="s">
        <v>4550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4483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4512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pane ySplit="1" topLeftCell="A247" activePane="bottomLeft" state="frozen"/>
      <selection pane="bottomLeft" activeCell="G262" sqref="G26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943</v>
      </c>
      <c r="E2" s="11">
        <f>IF(B2&gt;0,1,0)</f>
        <v>1</v>
      </c>
      <c r="F2" s="11">
        <f>B2*(D2-E2)</f>
        <v>91091400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941</v>
      </c>
      <c r="E3" s="11">
        <f t="shared" ref="E3:E66" si="1">IF(B3&gt;0,1,0)</f>
        <v>1</v>
      </c>
      <c r="F3" s="11">
        <f t="shared" ref="F3:F66" si="2">B3*(D3-E3)</f>
        <v>2820000000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938</v>
      </c>
      <c r="E4" s="11">
        <f t="shared" si="1"/>
        <v>0</v>
      </c>
      <c r="F4" s="11">
        <f t="shared" si="2"/>
        <v>-187600000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936</v>
      </c>
      <c r="E5" s="11">
        <f t="shared" si="1"/>
        <v>0</v>
      </c>
      <c r="F5" s="11">
        <f t="shared" si="2"/>
        <v>-93600000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935</v>
      </c>
      <c r="E6" s="11">
        <f t="shared" si="1"/>
        <v>0</v>
      </c>
      <c r="F6" s="11">
        <f t="shared" si="2"/>
        <v>-51425000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934</v>
      </c>
      <c r="E7" s="11">
        <f t="shared" si="1"/>
        <v>0</v>
      </c>
      <c r="F7" s="11">
        <f t="shared" si="2"/>
        <v>-186800000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930</v>
      </c>
      <c r="E8" s="11">
        <f t="shared" si="1"/>
        <v>0</v>
      </c>
      <c r="F8" s="11">
        <f t="shared" si="2"/>
        <v>-186000000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920</v>
      </c>
      <c r="E9" s="11">
        <f t="shared" si="1"/>
        <v>0</v>
      </c>
      <c r="F9" s="11">
        <f t="shared" si="2"/>
        <v>-874460000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919</v>
      </c>
      <c r="E10" s="11">
        <f t="shared" si="1"/>
        <v>1</v>
      </c>
      <c r="F10" s="11">
        <f t="shared" si="2"/>
        <v>1836000000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917</v>
      </c>
      <c r="E11" s="11">
        <f t="shared" si="1"/>
        <v>0</v>
      </c>
      <c r="F11" s="11">
        <f t="shared" si="2"/>
        <v>-976605000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914</v>
      </c>
      <c r="E12" s="11">
        <f t="shared" si="1"/>
        <v>0</v>
      </c>
      <c r="F12" s="11">
        <f t="shared" si="2"/>
        <v>-41130000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913</v>
      </c>
      <c r="E13" s="11">
        <f t="shared" si="1"/>
        <v>0</v>
      </c>
      <c r="F13" s="11">
        <f t="shared" si="2"/>
        <v>-1826639100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909</v>
      </c>
      <c r="E14" s="11">
        <f t="shared" si="1"/>
        <v>0</v>
      </c>
      <c r="F14" s="11">
        <f t="shared" si="2"/>
        <v>-181800000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907</v>
      </c>
      <c r="E15" s="11">
        <f t="shared" si="1"/>
        <v>1</v>
      </c>
      <c r="F15" s="11">
        <f t="shared" si="2"/>
        <v>1812000000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907</v>
      </c>
      <c r="E16" s="11">
        <f t="shared" si="1"/>
        <v>1</v>
      </c>
      <c r="F16" s="11">
        <f t="shared" si="2"/>
        <v>1812000000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907</v>
      </c>
      <c r="E17" s="11">
        <f t="shared" si="1"/>
        <v>1</v>
      </c>
      <c r="F17" s="11">
        <f t="shared" si="2"/>
        <v>1087200000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907</v>
      </c>
      <c r="E18" s="11">
        <f t="shared" si="1"/>
        <v>1</v>
      </c>
      <c r="F18" s="11">
        <f t="shared" si="2"/>
        <v>906000000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906</v>
      </c>
      <c r="E19" s="11">
        <f t="shared" si="1"/>
        <v>1</v>
      </c>
      <c r="F19" s="11">
        <f t="shared" si="2"/>
        <v>2715000000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906</v>
      </c>
      <c r="E20" s="11">
        <f t="shared" si="1"/>
        <v>0</v>
      </c>
      <c r="F20" s="11">
        <f t="shared" si="2"/>
        <v>-392026200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906</v>
      </c>
      <c r="E21" s="11">
        <f t="shared" si="1"/>
        <v>0</v>
      </c>
      <c r="F21" s="11">
        <f t="shared" si="2"/>
        <v>-392026200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906</v>
      </c>
      <c r="E22" s="11">
        <f t="shared" si="1"/>
        <v>0</v>
      </c>
      <c r="F22" s="11">
        <f t="shared" si="2"/>
        <v>-392026200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906</v>
      </c>
      <c r="E23" s="11">
        <f t="shared" si="1"/>
        <v>0</v>
      </c>
      <c r="F23" s="11">
        <f t="shared" si="2"/>
        <v>-392026200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906</v>
      </c>
      <c r="E24" s="11">
        <f t="shared" si="1"/>
        <v>0</v>
      </c>
      <c r="F24" s="11">
        <f t="shared" si="2"/>
        <v>-392026200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906</v>
      </c>
      <c r="E25" s="11">
        <f t="shared" si="1"/>
        <v>0</v>
      </c>
      <c r="F25" s="11">
        <f t="shared" si="2"/>
        <v>-181200000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905</v>
      </c>
      <c r="E26" s="11">
        <f t="shared" si="1"/>
        <v>1</v>
      </c>
      <c r="F26" s="11">
        <f t="shared" si="2"/>
        <v>2712000000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903</v>
      </c>
      <c r="E27" s="11">
        <f t="shared" si="1"/>
        <v>0</v>
      </c>
      <c r="F27" s="11">
        <f t="shared" si="2"/>
        <v>-180600000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902</v>
      </c>
      <c r="E28" s="11">
        <f t="shared" si="1"/>
        <v>1</v>
      </c>
      <c r="F28" s="11">
        <f t="shared" si="2"/>
        <v>1802000000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901</v>
      </c>
      <c r="E29" s="11">
        <f t="shared" si="1"/>
        <v>0</v>
      </c>
      <c r="F29" s="11">
        <f t="shared" si="2"/>
        <v>-6307720800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900</v>
      </c>
      <c r="E30" s="11">
        <f t="shared" si="1"/>
        <v>0</v>
      </c>
      <c r="F30" s="11">
        <f t="shared" si="2"/>
        <v>-2700810000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899</v>
      </c>
      <c r="E31" s="11">
        <f t="shared" si="1"/>
        <v>0</v>
      </c>
      <c r="F31" s="11">
        <f t="shared" si="2"/>
        <v>-1524614100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896</v>
      </c>
      <c r="E32" s="11">
        <f t="shared" si="1"/>
        <v>1</v>
      </c>
      <c r="F32" s="11">
        <f t="shared" si="2"/>
        <v>889898500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890</v>
      </c>
      <c r="E33" s="11">
        <f t="shared" si="1"/>
        <v>1</v>
      </c>
      <c r="F33" s="11">
        <f t="shared" si="2"/>
        <v>31195899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889</v>
      </c>
      <c r="E34" s="11">
        <f t="shared" si="1"/>
        <v>0</v>
      </c>
      <c r="F34" s="11">
        <f t="shared" si="2"/>
        <v>-755650000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881</v>
      </c>
      <c r="E35" s="11">
        <f t="shared" si="1"/>
        <v>0</v>
      </c>
      <c r="F35" s="11">
        <f t="shared" si="2"/>
        <v>-167830500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880</v>
      </c>
      <c r="E36" s="11">
        <f t="shared" si="1"/>
        <v>1</v>
      </c>
      <c r="F36" s="11">
        <f t="shared" si="2"/>
        <v>175800000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880</v>
      </c>
      <c r="E37" s="11">
        <f t="shared" si="1"/>
        <v>0</v>
      </c>
      <c r="F37" s="11">
        <f t="shared" si="2"/>
        <v>-176000000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858</v>
      </c>
      <c r="E38" s="11">
        <f t="shared" si="1"/>
        <v>1</v>
      </c>
      <c r="F38" s="11">
        <f t="shared" si="2"/>
        <v>257790742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857</v>
      </c>
      <c r="E39" s="11">
        <f t="shared" si="1"/>
        <v>0</v>
      </c>
      <c r="F39" s="11">
        <f t="shared" si="2"/>
        <v>-81415000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857</v>
      </c>
      <c r="E40" s="11">
        <f t="shared" si="1"/>
        <v>0</v>
      </c>
      <c r="F40" s="11">
        <f t="shared" si="2"/>
        <v>-75504271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852</v>
      </c>
      <c r="E41" s="11">
        <f t="shared" si="1"/>
        <v>0</v>
      </c>
      <c r="F41" s="11">
        <f t="shared" si="2"/>
        <v>-102240000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830</v>
      </c>
      <c r="E42" s="11">
        <f t="shared" si="1"/>
        <v>1</v>
      </c>
      <c r="F42" s="11">
        <f t="shared" si="2"/>
        <v>829169116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826</v>
      </c>
      <c r="E43" s="11">
        <f t="shared" si="1"/>
        <v>0</v>
      </c>
      <c r="F43" s="11">
        <f t="shared" si="2"/>
        <v>-66080000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822</v>
      </c>
      <c r="E44" s="11">
        <f t="shared" si="1"/>
        <v>0</v>
      </c>
      <c r="F44" s="11">
        <f t="shared" si="2"/>
        <v>-173465838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821</v>
      </c>
      <c r="E45" s="11">
        <f t="shared" si="1"/>
        <v>0</v>
      </c>
      <c r="F45" s="11">
        <f t="shared" si="2"/>
        <v>-164200000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820</v>
      </c>
      <c r="E46" s="11">
        <f t="shared" si="1"/>
        <v>0</v>
      </c>
      <c r="F46" s="11">
        <f t="shared" si="2"/>
        <v>-77900000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818</v>
      </c>
      <c r="E47" s="11">
        <f t="shared" si="1"/>
        <v>0</v>
      </c>
      <c r="F47" s="11">
        <f t="shared" si="2"/>
        <v>-36810000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818</v>
      </c>
      <c r="E48" s="11">
        <f t="shared" si="1"/>
        <v>0</v>
      </c>
      <c r="F48" s="11">
        <f t="shared" si="2"/>
        <v>-52499240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815</v>
      </c>
      <c r="E49" s="11">
        <f t="shared" si="1"/>
        <v>0</v>
      </c>
      <c r="F49" s="11">
        <f t="shared" si="2"/>
        <v>-22399460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814</v>
      </c>
      <c r="E50" s="11">
        <f t="shared" si="1"/>
        <v>0</v>
      </c>
      <c r="F50" s="11">
        <f t="shared" si="2"/>
        <v>-114774000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814</v>
      </c>
      <c r="E51" s="11">
        <f t="shared" si="1"/>
        <v>0</v>
      </c>
      <c r="F51" s="11">
        <f t="shared" si="2"/>
        <v>-21771244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813</v>
      </c>
      <c r="E52" s="11">
        <f t="shared" si="1"/>
        <v>0</v>
      </c>
      <c r="F52" s="11">
        <f t="shared" si="2"/>
        <v>-43332900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812</v>
      </c>
      <c r="E53" s="11">
        <f t="shared" si="1"/>
        <v>1</v>
      </c>
      <c r="F53" s="11">
        <f t="shared" si="2"/>
        <v>811000000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806</v>
      </c>
      <c r="E54" s="11">
        <f t="shared" si="1"/>
        <v>0</v>
      </c>
      <c r="F54" s="11">
        <f t="shared" si="2"/>
        <v>-16926000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805</v>
      </c>
      <c r="E55" s="11">
        <f t="shared" si="1"/>
        <v>0</v>
      </c>
      <c r="F55" s="11">
        <f t="shared" si="2"/>
        <v>-789302500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805</v>
      </c>
      <c r="E56" s="11">
        <f t="shared" si="1"/>
        <v>0</v>
      </c>
      <c r="F56" s="11">
        <f t="shared" si="2"/>
        <v>-36225000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792</v>
      </c>
      <c r="E57" s="11">
        <f t="shared" si="1"/>
        <v>1</v>
      </c>
      <c r="F57" s="11">
        <f t="shared" si="2"/>
        <v>2377104499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792</v>
      </c>
      <c r="E58" s="11">
        <f t="shared" si="1"/>
        <v>1</v>
      </c>
      <c r="F58" s="11">
        <f t="shared" si="2"/>
        <v>1582000000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791</v>
      </c>
      <c r="E59" s="11">
        <f t="shared" si="1"/>
        <v>1</v>
      </c>
      <c r="F59" s="11">
        <f t="shared" si="2"/>
        <v>1580000000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791</v>
      </c>
      <c r="E60" s="11">
        <f t="shared" si="1"/>
        <v>0</v>
      </c>
      <c r="F60" s="11">
        <f t="shared" si="2"/>
        <v>-5538186500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767</v>
      </c>
      <c r="E61" s="11">
        <f t="shared" si="1"/>
        <v>1</v>
      </c>
      <c r="F61" s="11">
        <f t="shared" si="2"/>
        <v>2298000000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766</v>
      </c>
      <c r="E62" s="11">
        <f t="shared" si="1"/>
        <v>0</v>
      </c>
      <c r="F62" s="11">
        <f t="shared" si="2"/>
        <v>-20765494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766</v>
      </c>
      <c r="E63" s="11">
        <f t="shared" si="1"/>
        <v>0</v>
      </c>
      <c r="F63" s="11">
        <f t="shared" si="2"/>
        <v>-25269574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766</v>
      </c>
      <c r="E64" s="11">
        <f t="shared" si="1"/>
        <v>1</v>
      </c>
      <c r="F64" s="11">
        <f t="shared" si="2"/>
        <v>2295000000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766</v>
      </c>
      <c r="E65" s="11">
        <f t="shared" si="1"/>
        <v>1</v>
      </c>
      <c r="F65" s="11">
        <f t="shared" si="2"/>
        <v>2272050000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766</v>
      </c>
      <c r="E66" s="11">
        <f t="shared" si="1"/>
        <v>1</v>
      </c>
      <c r="F66" s="11">
        <f t="shared" si="2"/>
        <v>765000000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766</v>
      </c>
      <c r="E67" s="11">
        <f t="shared" ref="E67:E130" si="4">IF(B67&gt;0,1,0)</f>
        <v>1</v>
      </c>
      <c r="F67" s="11">
        <f t="shared" ref="F67:F248" si="5">B67*(D67-E67)</f>
        <v>22950000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765</v>
      </c>
      <c r="E68" s="11">
        <f t="shared" si="4"/>
        <v>1</v>
      </c>
      <c r="F68" s="11">
        <f t="shared" si="5"/>
        <v>22920000000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764</v>
      </c>
      <c r="E69" s="11">
        <f t="shared" si="4"/>
        <v>0</v>
      </c>
      <c r="F69" s="11">
        <f t="shared" si="5"/>
        <v>-152800000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764</v>
      </c>
      <c r="E70" s="11">
        <f t="shared" si="4"/>
        <v>1</v>
      </c>
      <c r="F70" s="11">
        <f t="shared" si="5"/>
        <v>1068200000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764</v>
      </c>
      <c r="E71" s="11">
        <f t="shared" si="4"/>
        <v>1</v>
      </c>
      <c r="F71" s="11">
        <f t="shared" si="5"/>
        <v>1983800000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764</v>
      </c>
      <c r="E72" s="11">
        <f t="shared" si="4"/>
        <v>0</v>
      </c>
      <c r="F72" s="11">
        <f t="shared" si="5"/>
        <v>-764000000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762</v>
      </c>
      <c r="E73" s="11">
        <f t="shared" si="4"/>
        <v>1</v>
      </c>
      <c r="F73" s="11">
        <f t="shared" si="5"/>
        <v>11415000000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757</v>
      </c>
      <c r="E74" s="11">
        <f t="shared" si="4"/>
        <v>0</v>
      </c>
      <c r="F74" s="11">
        <f t="shared" si="5"/>
        <v>-11358179400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755</v>
      </c>
      <c r="E75" s="11">
        <f t="shared" si="4"/>
        <v>0</v>
      </c>
      <c r="F75" s="11">
        <f t="shared" si="5"/>
        <v>-2265000000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755</v>
      </c>
      <c r="E76" s="11">
        <f t="shared" si="4"/>
        <v>0</v>
      </c>
      <c r="F76" s="11">
        <f t="shared" si="5"/>
        <v>-151000000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755</v>
      </c>
      <c r="E77" s="11">
        <f t="shared" si="4"/>
        <v>0</v>
      </c>
      <c r="F77" s="11">
        <f t="shared" si="5"/>
        <v>-9062265000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751</v>
      </c>
      <c r="E78" s="11">
        <f t="shared" si="4"/>
        <v>0</v>
      </c>
      <c r="F78" s="11">
        <f t="shared" si="5"/>
        <v>-2253675900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746</v>
      </c>
      <c r="E79" s="11">
        <f t="shared" si="4"/>
        <v>1</v>
      </c>
      <c r="F79" s="11">
        <f t="shared" si="5"/>
        <v>17135000000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741</v>
      </c>
      <c r="E80" s="11">
        <f t="shared" si="4"/>
        <v>0</v>
      </c>
      <c r="F80" s="11">
        <f t="shared" si="5"/>
        <v>-444970500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741</v>
      </c>
      <c r="E81" s="11">
        <f t="shared" si="4"/>
        <v>0</v>
      </c>
      <c r="F81" s="11">
        <f t="shared" si="5"/>
        <v>-148200000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740</v>
      </c>
      <c r="E82" s="11">
        <f t="shared" si="4"/>
        <v>1</v>
      </c>
      <c r="F82" s="11">
        <f t="shared" si="5"/>
        <v>209300319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740</v>
      </c>
      <c r="E83" s="11">
        <f t="shared" si="4"/>
        <v>0</v>
      </c>
      <c r="F83" s="11">
        <f t="shared" si="5"/>
        <v>-148000000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738</v>
      </c>
      <c r="E84" s="11">
        <f t="shared" si="4"/>
        <v>1</v>
      </c>
      <c r="F84" s="11">
        <f t="shared" si="5"/>
        <v>1474000000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735</v>
      </c>
      <c r="E85" s="11">
        <f t="shared" si="4"/>
        <v>0</v>
      </c>
      <c r="F85" s="11">
        <f t="shared" si="5"/>
        <v>-147000000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729</v>
      </c>
      <c r="E86" s="11">
        <f t="shared" si="4"/>
        <v>0</v>
      </c>
      <c r="F86" s="11">
        <f t="shared" si="5"/>
        <v>-145800000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727</v>
      </c>
      <c r="E87" s="11">
        <f t="shared" si="4"/>
        <v>0</v>
      </c>
      <c r="F87" s="11">
        <f t="shared" si="5"/>
        <v>-963275000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712</v>
      </c>
      <c r="E88" s="11">
        <f t="shared" si="4"/>
        <v>0</v>
      </c>
      <c r="F88" s="11">
        <f t="shared" si="5"/>
        <v>-356000000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712</v>
      </c>
      <c r="E89" s="11">
        <f t="shared" si="4"/>
        <v>0</v>
      </c>
      <c r="F89" s="11">
        <f t="shared" si="5"/>
        <v>-85440000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710</v>
      </c>
      <c r="E90" s="11">
        <f t="shared" si="4"/>
        <v>1</v>
      </c>
      <c r="F90" s="11">
        <f t="shared" si="5"/>
        <v>303597345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707</v>
      </c>
      <c r="E91" s="11">
        <f t="shared" si="4"/>
        <v>0</v>
      </c>
      <c r="F91" s="11">
        <f t="shared" si="5"/>
        <v>-2122414000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705</v>
      </c>
      <c r="E92" s="11">
        <f t="shared" si="4"/>
        <v>0</v>
      </c>
      <c r="F92" s="11">
        <f t="shared" si="5"/>
        <v>-144525000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705</v>
      </c>
      <c r="E93" s="11">
        <f t="shared" si="4"/>
        <v>0</v>
      </c>
      <c r="F93" s="11">
        <f t="shared" si="5"/>
        <v>-247102500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694</v>
      </c>
      <c r="E94" s="11">
        <f t="shared" si="4"/>
        <v>1</v>
      </c>
      <c r="F94" s="11">
        <f t="shared" si="5"/>
        <v>693000000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689</v>
      </c>
      <c r="E95" s="11">
        <f t="shared" si="4"/>
        <v>1</v>
      </c>
      <c r="F95" s="11">
        <f t="shared" si="5"/>
        <v>6192000000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687</v>
      </c>
      <c r="E96" s="11">
        <f t="shared" si="4"/>
        <v>0</v>
      </c>
      <c r="F96" s="11">
        <f t="shared" si="5"/>
        <v>-17862000000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687</v>
      </c>
      <c r="E97" s="11">
        <f t="shared" si="4"/>
        <v>0</v>
      </c>
      <c r="F97" s="11">
        <f t="shared" si="5"/>
        <v>-17862000000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687</v>
      </c>
      <c r="E98" s="11">
        <f t="shared" si="4"/>
        <v>1</v>
      </c>
      <c r="F98" s="11">
        <f t="shared" si="5"/>
        <v>17836000000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687</v>
      </c>
      <c r="E99" s="11">
        <f t="shared" si="4"/>
        <v>0</v>
      </c>
      <c r="F99" s="11">
        <f t="shared" si="5"/>
        <v>-137400000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685</v>
      </c>
      <c r="E100" s="11">
        <f t="shared" si="4"/>
        <v>1</v>
      </c>
      <c r="F100" s="11">
        <f t="shared" si="5"/>
        <v>19972800000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680</v>
      </c>
      <c r="E101" s="11">
        <f t="shared" si="4"/>
        <v>1</v>
      </c>
      <c r="F101" s="11">
        <f t="shared" si="5"/>
        <v>271562655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679</v>
      </c>
      <c r="E102" s="11">
        <f t="shared" si="4"/>
        <v>1</v>
      </c>
      <c r="F102" s="11">
        <f t="shared" si="5"/>
        <v>1356000000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678</v>
      </c>
      <c r="E103" s="11">
        <f t="shared" si="4"/>
        <v>1</v>
      </c>
      <c r="F103" s="11">
        <f t="shared" si="5"/>
        <v>5077500000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678</v>
      </c>
      <c r="E104" s="11">
        <f t="shared" si="4"/>
        <v>0</v>
      </c>
      <c r="F104" s="11">
        <f t="shared" si="5"/>
        <v>-44748000000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678</v>
      </c>
      <c r="E105" s="11">
        <f t="shared" si="4"/>
        <v>0</v>
      </c>
      <c r="F105" s="11">
        <f t="shared" si="5"/>
        <v>-98310000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676</v>
      </c>
      <c r="E106" s="11">
        <f t="shared" si="4"/>
        <v>1</v>
      </c>
      <c r="F106" s="11">
        <f t="shared" si="5"/>
        <v>4050000000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674</v>
      </c>
      <c r="E107" s="11">
        <f t="shared" si="4"/>
        <v>0</v>
      </c>
      <c r="F107" s="11">
        <f t="shared" si="5"/>
        <v>-4047976600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671</v>
      </c>
      <c r="E108" s="11">
        <f t="shared" si="4"/>
        <v>1</v>
      </c>
      <c r="F108" s="11">
        <f t="shared" si="5"/>
        <v>4020000000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659</v>
      </c>
      <c r="E109" s="11">
        <f t="shared" si="4"/>
        <v>0</v>
      </c>
      <c r="F109" s="11">
        <f t="shared" si="5"/>
        <v>-79080000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658</v>
      </c>
      <c r="E110" s="11">
        <f t="shared" si="4"/>
        <v>1</v>
      </c>
      <c r="F110" s="11">
        <f t="shared" si="5"/>
        <v>2628000000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657</v>
      </c>
      <c r="E111" s="11">
        <f t="shared" si="4"/>
        <v>1</v>
      </c>
      <c r="F111" s="11">
        <f t="shared" si="5"/>
        <v>1836800000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653</v>
      </c>
      <c r="E112" s="11">
        <f t="shared" si="4"/>
        <v>0</v>
      </c>
      <c r="F112" s="11">
        <f t="shared" si="5"/>
        <v>-130600000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652</v>
      </c>
      <c r="E113" s="11">
        <f t="shared" si="4"/>
        <v>1</v>
      </c>
      <c r="F113" s="11">
        <f t="shared" si="5"/>
        <v>47073810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635</v>
      </c>
      <c r="E114" s="11">
        <f t="shared" si="4"/>
        <v>0</v>
      </c>
      <c r="F114" s="11">
        <f t="shared" si="5"/>
        <v>-127000000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634</v>
      </c>
      <c r="E115" s="11">
        <f t="shared" si="4"/>
        <v>0</v>
      </c>
      <c r="F115" s="23">
        <f t="shared" si="5"/>
        <v>-6974000000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634</v>
      </c>
      <c r="E116" s="11">
        <f t="shared" si="4"/>
        <v>0</v>
      </c>
      <c r="F116" s="11">
        <f t="shared" si="5"/>
        <v>-126800000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632</v>
      </c>
      <c r="E117" s="11">
        <f t="shared" si="4"/>
        <v>0</v>
      </c>
      <c r="F117" s="11">
        <f t="shared" si="5"/>
        <v>-284716000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632</v>
      </c>
      <c r="E118" s="11">
        <f t="shared" si="4"/>
        <v>0</v>
      </c>
      <c r="F118" s="11">
        <f t="shared" si="5"/>
        <v>-126400000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626</v>
      </c>
      <c r="E119" s="11">
        <f t="shared" si="4"/>
        <v>0</v>
      </c>
      <c r="F119" s="11">
        <f t="shared" si="5"/>
        <v>-96748300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626</v>
      </c>
      <c r="E120" s="11">
        <f t="shared" si="4"/>
        <v>0</v>
      </c>
      <c r="F120" s="11">
        <f t="shared" si="5"/>
        <v>-200320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625</v>
      </c>
      <c r="E121" s="11">
        <f t="shared" si="4"/>
        <v>0</v>
      </c>
      <c r="F121" s="11">
        <f t="shared" si="5"/>
        <v>-270000000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619</v>
      </c>
      <c r="E122" s="11">
        <f t="shared" si="4"/>
        <v>1</v>
      </c>
      <c r="F122" s="11">
        <f t="shared" si="5"/>
        <v>45758574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598</v>
      </c>
      <c r="E123" s="11">
        <f t="shared" si="4"/>
        <v>0</v>
      </c>
      <c r="F123" s="11">
        <f t="shared" si="5"/>
        <v>-31096000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557</v>
      </c>
      <c r="E124" s="11">
        <f t="shared" si="4"/>
        <v>1</v>
      </c>
      <c r="F124" s="11">
        <f t="shared" si="5"/>
        <v>659972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556</v>
      </c>
      <c r="E125" s="11">
        <f t="shared" si="4"/>
        <v>1</v>
      </c>
      <c r="F125" s="11">
        <f t="shared" si="5"/>
        <v>1332000000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554</v>
      </c>
      <c r="E126" s="11">
        <f t="shared" si="4"/>
        <v>1</v>
      </c>
      <c r="F126" s="11">
        <f t="shared" si="5"/>
        <v>742568400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554</v>
      </c>
      <c r="E127" s="11">
        <f t="shared" si="4"/>
        <v>1</v>
      </c>
      <c r="F127" s="11">
        <f t="shared" si="5"/>
        <v>742568400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542</v>
      </c>
      <c r="E128" s="11">
        <f t="shared" si="4"/>
        <v>0</v>
      </c>
      <c r="F128" s="11">
        <f t="shared" si="5"/>
        <v>-108400000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540</v>
      </c>
      <c r="E129" s="11">
        <f t="shared" si="4"/>
        <v>0</v>
      </c>
      <c r="F129" s="11">
        <f>B129*(D129-E129)</f>
        <v>-8433720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539</v>
      </c>
      <c r="E130" s="11">
        <f t="shared" si="4"/>
        <v>0</v>
      </c>
      <c r="F130" s="11">
        <f t="shared" si="5"/>
        <v>-107800000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538</v>
      </c>
      <c r="E131" s="11">
        <f t="shared" ref="E131:E248" si="7">IF(B131&gt;0,1,0)</f>
        <v>0</v>
      </c>
      <c r="F131" s="11">
        <f t="shared" si="5"/>
        <v>-107600000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537</v>
      </c>
      <c r="E132" s="11">
        <f t="shared" si="7"/>
        <v>0</v>
      </c>
      <c r="F132" s="11">
        <f t="shared" si="5"/>
        <v>-209430000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537</v>
      </c>
      <c r="E133" s="11">
        <f t="shared" si="7"/>
        <v>0</v>
      </c>
      <c r="F133" s="11">
        <f t="shared" si="5"/>
        <v>-13156500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536</v>
      </c>
      <c r="E134" s="11">
        <f t="shared" si="7"/>
        <v>0</v>
      </c>
      <c r="F134" s="11">
        <f t="shared" si="5"/>
        <v>-50920000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532</v>
      </c>
      <c r="E135" s="11">
        <f t="shared" si="7"/>
        <v>0</v>
      </c>
      <c r="F135" s="11">
        <f t="shared" si="5"/>
        <v>-106400000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530</v>
      </c>
      <c r="E136" s="11">
        <f t="shared" si="7"/>
        <v>1</v>
      </c>
      <c r="F136" s="11">
        <f t="shared" si="5"/>
        <v>26450000000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529</v>
      </c>
      <c r="E137" s="11">
        <f t="shared" si="7"/>
        <v>1</v>
      </c>
      <c r="F137" s="11">
        <f t="shared" si="5"/>
        <v>6336000000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527</v>
      </c>
      <c r="E138" s="11">
        <f t="shared" si="7"/>
        <v>1</v>
      </c>
      <c r="F138" s="11">
        <f t="shared" si="5"/>
        <v>1052000000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526</v>
      </c>
      <c r="E139" s="11">
        <f t="shared" si="7"/>
        <v>1</v>
      </c>
      <c r="F139" s="11">
        <f t="shared" si="5"/>
        <v>45957450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513</v>
      </c>
      <c r="E140" s="11">
        <f t="shared" si="7"/>
        <v>0</v>
      </c>
      <c r="F140" s="11">
        <f t="shared" si="5"/>
        <v>-1539461700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512</v>
      </c>
      <c r="E141" s="11">
        <f t="shared" si="7"/>
        <v>0</v>
      </c>
      <c r="F141" s="11">
        <f t="shared" si="5"/>
        <v>-1536460800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495</v>
      </c>
      <c r="E142" s="11">
        <f t="shared" si="7"/>
        <v>1</v>
      </c>
      <c r="F142" s="11">
        <f t="shared" si="5"/>
        <v>297400350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495</v>
      </c>
      <c r="E143" s="11">
        <f t="shared" si="7"/>
        <v>0</v>
      </c>
      <c r="F143" s="11">
        <f t="shared" si="5"/>
        <v>-22770000000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464</v>
      </c>
      <c r="E144" s="11">
        <f t="shared" si="7"/>
        <v>1</v>
      </c>
      <c r="F144" s="11">
        <f t="shared" si="5"/>
        <v>71351541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463</v>
      </c>
      <c r="E145" s="11">
        <f t="shared" si="7"/>
        <v>1</v>
      </c>
      <c r="F145" s="11">
        <f t="shared" si="5"/>
        <v>1386000000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460</v>
      </c>
      <c r="E146" s="11">
        <f t="shared" si="7"/>
        <v>0</v>
      </c>
      <c r="F146" s="11">
        <f t="shared" si="5"/>
        <v>-92000000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455</v>
      </c>
      <c r="E147" s="11">
        <f t="shared" si="7"/>
        <v>0</v>
      </c>
      <c r="F147" s="11">
        <f t="shared" si="5"/>
        <v>-91000000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454</v>
      </c>
      <c r="E148" s="11">
        <f t="shared" si="7"/>
        <v>0</v>
      </c>
      <c r="F148" s="11">
        <f t="shared" si="5"/>
        <v>-90800000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450</v>
      </c>
      <c r="E149" s="11">
        <f t="shared" si="7"/>
        <v>0</v>
      </c>
      <c r="F149" s="11">
        <f t="shared" si="5"/>
        <v>-90000000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449</v>
      </c>
      <c r="E150" s="11">
        <f t="shared" si="7"/>
        <v>1</v>
      </c>
      <c r="F150" s="11">
        <f t="shared" si="5"/>
        <v>10784883200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447</v>
      </c>
      <c r="E151" s="11">
        <f t="shared" si="7"/>
        <v>0</v>
      </c>
      <c r="F151" s="11">
        <f t="shared" si="5"/>
        <v>-89400000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441</v>
      </c>
      <c r="E152" s="11">
        <f t="shared" si="7"/>
        <v>0</v>
      </c>
      <c r="F152" s="11">
        <f t="shared" si="5"/>
        <v>-13230000000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440</v>
      </c>
      <c r="E153" s="11">
        <f t="shared" si="7"/>
        <v>0</v>
      </c>
      <c r="F153" s="11">
        <f t="shared" si="5"/>
        <v>-22880000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440</v>
      </c>
      <c r="E154" s="11">
        <f t="shared" si="7"/>
        <v>0</v>
      </c>
      <c r="F154" s="11">
        <f t="shared" si="5"/>
        <v>-59840000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435</v>
      </c>
      <c r="E155" s="11">
        <f t="shared" si="7"/>
        <v>1</v>
      </c>
      <c r="F155" s="11">
        <f t="shared" si="5"/>
        <v>1302000000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434</v>
      </c>
      <c r="E156" s="11">
        <f t="shared" si="7"/>
        <v>1</v>
      </c>
      <c r="F156" s="11">
        <f t="shared" si="5"/>
        <v>81881599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434</v>
      </c>
      <c r="E157" s="11">
        <f t="shared" si="7"/>
        <v>1</v>
      </c>
      <c r="F157" s="11">
        <f t="shared" si="5"/>
        <v>10490594100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426</v>
      </c>
      <c r="E158" s="11">
        <f t="shared" si="7"/>
        <v>1</v>
      </c>
      <c r="F158" s="11">
        <f t="shared" si="5"/>
        <v>10325460000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426</v>
      </c>
      <c r="E159" s="11">
        <f t="shared" si="7"/>
        <v>0</v>
      </c>
      <c r="F159" s="11">
        <f t="shared" si="5"/>
        <v>-85626000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421</v>
      </c>
      <c r="E160" s="11">
        <f t="shared" si="7"/>
        <v>0</v>
      </c>
      <c r="F160" s="11">
        <f t="shared" si="5"/>
        <v>-84200000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418</v>
      </c>
      <c r="E161" s="11">
        <f t="shared" si="7"/>
        <v>0</v>
      </c>
      <c r="F161" s="11">
        <f t="shared" si="5"/>
        <v>-83600000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414</v>
      </c>
      <c r="E162" s="11">
        <f t="shared" si="7"/>
        <v>0</v>
      </c>
      <c r="F162" s="11">
        <f t="shared" si="5"/>
        <v>-82800000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411</v>
      </c>
      <c r="E163" s="11">
        <f t="shared" si="7"/>
        <v>0</v>
      </c>
      <c r="F163" s="11">
        <f t="shared" si="5"/>
        <v>-82200000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404</v>
      </c>
      <c r="E164" s="11">
        <f t="shared" si="7"/>
        <v>1</v>
      </c>
      <c r="F164" s="11">
        <f t="shared" si="5"/>
        <v>184442622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401</v>
      </c>
      <c r="E165" s="11">
        <f t="shared" si="7"/>
        <v>1</v>
      </c>
      <c r="F165" s="11">
        <f t="shared" si="5"/>
        <v>1080000000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401</v>
      </c>
      <c r="E166" s="11">
        <f t="shared" si="7"/>
        <v>1</v>
      </c>
      <c r="F166" s="11">
        <f t="shared" si="5"/>
        <v>1000000000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394</v>
      </c>
      <c r="E167" s="11">
        <f t="shared" si="7"/>
        <v>0</v>
      </c>
      <c r="F167" s="11">
        <f t="shared" si="5"/>
        <v>-78800000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392</v>
      </c>
      <c r="E168" s="11">
        <f t="shared" si="7"/>
        <v>0</v>
      </c>
      <c r="F168" s="11">
        <f t="shared" si="5"/>
        <v>-78400000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386</v>
      </c>
      <c r="E169" s="11">
        <f t="shared" si="7"/>
        <v>0</v>
      </c>
      <c r="F169" s="11">
        <f t="shared" si="5"/>
        <v>-77200000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383</v>
      </c>
      <c r="E170" s="11">
        <f t="shared" si="7"/>
        <v>0</v>
      </c>
      <c r="F170" s="11">
        <f t="shared" si="5"/>
        <v>-76600000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383</v>
      </c>
      <c r="E171" s="11">
        <f t="shared" si="7"/>
        <v>1</v>
      </c>
      <c r="F171" s="11">
        <f t="shared" si="5"/>
        <v>1146000000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380</v>
      </c>
      <c r="E172" s="11">
        <f t="shared" si="7"/>
        <v>0</v>
      </c>
      <c r="F172" s="11">
        <f t="shared" si="5"/>
        <v>-76000000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379</v>
      </c>
      <c r="E173" s="11">
        <f t="shared" si="7"/>
        <v>1</v>
      </c>
      <c r="F173" s="11">
        <f t="shared" si="5"/>
        <v>1134000000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378</v>
      </c>
      <c r="E174" s="11">
        <f t="shared" si="7"/>
        <v>1</v>
      </c>
      <c r="F174" s="11">
        <f t="shared" si="5"/>
        <v>754000000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377</v>
      </c>
      <c r="E175" s="11">
        <f t="shared" si="7"/>
        <v>1</v>
      </c>
      <c r="F175" s="11">
        <f t="shared" si="5"/>
        <v>488800000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375</v>
      </c>
      <c r="E176" s="11">
        <f t="shared" si="7"/>
        <v>0</v>
      </c>
      <c r="F176" s="11">
        <f t="shared" si="5"/>
        <v>-75000000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375</v>
      </c>
      <c r="E177" s="11">
        <f t="shared" si="7"/>
        <v>1</v>
      </c>
      <c r="F177" s="11">
        <f t="shared" si="5"/>
        <v>635800000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374</v>
      </c>
      <c r="E178" s="11">
        <f t="shared" si="7"/>
        <v>0</v>
      </c>
      <c r="F178" s="11">
        <f t="shared" si="5"/>
        <v>-74800000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373</v>
      </c>
      <c r="E179" s="11">
        <f t="shared" si="7"/>
        <v>1</v>
      </c>
      <c r="F179" s="11">
        <f t="shared" si="5"/>
        <v>212595024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370</v>
      </c>
      <c r="E180" s="11">
        <f t="shared" si="7"/>
        <v>1</v>
      </c>
      <c r="F180" s="11">
        <f t="shared" si="5"/>
        <v>1107000000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363</v>
      </c>
      <c r="E181" s="11">
        <f t="shared" si="7"/>
        <v>1</v>
      </c>
      <c r="F181" s="11">
        <f t="shared" si="5"/>
        <v>724000000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355</v>
      </c>
      <c r="E182" s="11">
        <f t="shared" si="7"/>
        <v>0</v>
      </c>
      <c r="F182" s="11">
        <f t="shared" si="5"/>
        <v>-781248500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343</v>
      </c>
      <c r="E183" s="11">
        <f t="shared" si="7"/>
        <v>1</v>
      </c>
      <c r="F183" s="11">
        <f t="shared" si="5"/>
        <v>230879754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313</v>
      </c>
      <c r="E184" s="11">
        <f t="shared" si="7"/>
        <v>1</v>
      </c>
      <c r="F184" s="11">
        <f t="shared" si="5"/>
        <v>211224000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298</v>
      </c>
      <c r="E185" s="11">
        <f t="shared" si="7"/>
        <v>0</v>
      </c>
      <c r="F185" s="11">
        <f t="shared" si="5"/>
        <v>-2980000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9" si="8">D187+C186</f>
        <v>293</v>
      </c>
      <c r="E186" s="11">
        <f t="shared" si="7"/>
        <v>0</v>
      </c>
      <c r="F186" s="11">
        <f t="shared" si="5"/>
        <v>-23586500000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288</v>
      </c>
      <c r="E187" s="11">
        <f t="shared" si="7"/>
        <v>0</v>
      </c>
      <c r="F187" s="11">
        <f t="shared" si="5"/>
        <v>-316800000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288</v>
      </c>
      <c r="E188" s="11">
        <f t="shared" si="7"/>
        <v>1</v>
      </c>
      <c r="F188" s="11">
        <f t="shared" si="5"/>
        <v>861000000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287</v>
      </c>
      <c r="E189" s="11">
        <f t="shared" si="7"/>
        <v>1</v>
      </c>
      <c r="F189" s="11">
        <f t="shared" si="5"/>
        <v>572000000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287</v>
      </c>
      <c r="E190" s="11">
        <f t="shared" si="7"/>
        <v>0</v>
      </c>
      <c r="F190" s="11">
        <f t="shared" si="5"/>
        <v>-1435000000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286</v>
      </c>
      <c r="E191" s="11">
        <f t="shared" si="7"/>
        <v>1</v>
      </c>
      <c r="F191" s="11">
        <f t="shared" si="5"/>
        <v>137725680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282</v>
      </c>
      <c r="E192" s="11">
        <f t="shared" si="7"/>
        <v>0</v>
      </c>
      <c r="F192" s="11">
        <f t="shared" si="5"/>
        <v>-32514600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278</v>
      </c>
      <c r="E193" s="11">
        <f t="shared" si="7"/>
        <v>1</v>
      </c>
      <c r="F193" s="11">
        <f t="shared" si="5"/>
        <v>24930000000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271</v>
      </c>
      <c r="E194" s="11">
        <f t="shared" si="7"/>
        <v>1</v>
      </c>
      <c r="F194" s="11">
        <f t="shared" si="5"/>
        <v>14040000000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271</v>
      </c>
      <c r="E195" s="11">
        <f t="shared" si="7"/>
        <v>1</v>
      </c>
      <c r="F195" s="99">
        <f t="shared" si="5"/>
        <v>6750000000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271</v>
      </c>
      <c r="E196" s="99">
        <f t="shared" si="7"/>
        <v>0</v>
      </c>
      <c r="F196" s="99">
        <f t="shared" si="5"/>
        <v>-45528000000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264</v>
      </c>
      <c r="E197" s="99">
        <f t="shared" si="7"/>
        <v>0</v>
      </c>
      <c r="F197" s="99">
        <f t="shared" si="5"/>
        <v>-43692000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260</v>
      </c>
      <c r="E198" s="99">
        <f t="shared" si="7"/>
        <v>0</v>
      </c>
      <c r="F198" s="99">
        <f t="shared" si="5"/>
        <v>-52000000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260</v>
      </c>
      <c r="E199" s="99">
        <f t="shared" si="7"/>
        <v>0</v>
      </c>
      <c r="F199" s="99">
        <f t="shared" si="5"/>
        <v>-12215060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257</v>
      </c>
      <c r="E200" s="99">
        <f t="shared" si="7"/>
        <v>0</v>
      </c>
      <c r="F200" s="99">
        <f t="shared" si="5"/>
        <v>-1195050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255</v>
      </c>
      <c r="E201" s="99">
        <f t="shared" si="7"/>
        <v>1</v>
      </c>
      <c r="F201" s="99">
        <f t="shared" si="5"/>
        <v>40596312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252</v>
      </c>
      <c r="E202" s="99">
        <f t="shared" si="7"/>
        <v>0</v>
      </c>
      <c r="F202" s="99">
        <f t="shared" si="5"/>
        <v>-75726000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252</v>
      </c>
      <c r="E203" s="99">
        <f t="shared" si="7"/>
        <v>1</v>
      </c>
      <c r="F203" s="99">
        <f t="shared" si="5"/>
        <v>1506000000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250</v>
      </c>
      <c r="E204" s="99">
        <f t="shared" si="7"/>
        <v>0</v>
      </c>
      <c r="F204" s="99">
        <f t="shared" si="5"/>
        <v>-171250000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249</v>
      </c>
      <c r="E205" s="99">
        <f t="shared" si="7"/>
        <v>0</v>
      </c>
      <c r="F205" s="99">
        <f t="shared" si="5"/>
        <v>-747000000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248</v>
      </c>
      <c r="E206" s="99">
        <f t="shared" si="7"/>
        <v>0</v>
      </c>
      <c r="F206" s="99">
        <f t="shared" si="5"/>
        <v>-38688000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247</v>
      </c>
      <c r="E207" s="99">
        <f t="shared" si="7"/>
        <v>0</v>
      </c>
      <c r="F207" s="99">
        <f t="shared" si="5"/>
        <v>-16302000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246</v>
      </c>
      <c r="E208" s="99">
        <f t="shared" si="7"/>
        <v>0</v>
      </c>
      <c r="F208" s="99">
        <f t="shared" si="5"/>
        <v>-615221400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244</v>
      </c>
      <c r="E209" s="99">
        <f t="shared" si="7"/>
        <v>1</v>
      </c>
      <c r="F209" s="99">
        <f t="shared" si="5"/>
        <v>729000000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244</v>
      </c>
      <c r="E210" s="99">
        <f t="shared" si="7"/>
        <v>0</v>
      </c>
      <c r="F210" s="99">
        <f t="shared" si="5"/>
        <v>-634741600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242</v>
      </c>
      <c r="E211" s="99">
        <f t="shared" si="7"/>
        <v>1</v>
      </c>
      <c r="F211" s="99">
        <f t="shared" si="5"/>
        <v>241000000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240</v>
      </c>
      <c r="E212" s="99">
        <f t="shared" si="7"/>
        <v>1</v>
      </c>
      <c r="F212" s="99">
        <f t="shared" si="5"/>
        <v>322650000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239</v>
      </c>
      <c r="E213" s="99">
        <f t="shared" si="7"/>
        <v>0</v>
      </c>
      <c r="F213" s="99">
        <f t="shared" si="5"/>
        <v>-525800000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239</v>
      </c>
      <c r="E214" s="99">
        <f t="shared" si="7"/>
        <v>0</v>
      </c>
      <c r="F214" s="99">
        <f t="shared" si="5"/>
        <v>-119619500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236</v>
      </c>
      <c r="E215" s="99">
        <f t="shared" si="7"/>
        <v>0</v>
      </c>
      <c r="F215" s="99">
        <f t="shared" si="5"/>
        <v>-10620000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236</v>
      </c>
      <c r="E216" s="99">
        <f t="shared" si="7"/>
        <v>1</v>
      </c>
      <c r="F216" s="99">
        <f t="shared" si="5"/>
        <v>235000000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236</v>
      </c>
      <c r="E217" s="99">
        <f t="shared" si="7"/>
        <v>0</v>
      </c>
      <c r="F217" s="99">
        <f t="shared" si="5"/>
        <v>-23600000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235</v>
      </c>
      <c r="E218" s="99">
        <f t="shared" si="7"/>
        <v>0</v>
      </c>
      <c r="F218" s="99">
        <f t="shared" si="5"/>
        <v>-70500000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232</v>
      </c>
      <c r="E219" s="99">
        <f t="shared" si="7"/>
        <v>0</v>
      </c>
      <c r="F219" s="99">
        <f t="shared" si="5"/>
        <v>-11811120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232</v>
      </c>
      <c r="E220" s="99">
        <f t="shared" si="7"/>
        <v>0</v>
      </c>
      <c r="F220" s="99">
        <f t="shared" si="5"/>
        <v>-127716000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230</v>
      </c>
      <c r="E221" s="99">
        <f t="shared" si="7"/>
        <v>1</v>
      </c>
      <c r="F221" s="99">
        <f t="shared" si="5"/>
        <v>366400000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229</v>
      </c>
      <c r="E222" s="99">
        <f t="shared" si="7"/>
        <v>0</v>
      </c>
      <c r="F222" s="99">
        <f t="shared" si="5"/>
        <v>-343660300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224</v>
      </c>
      <c r="E223" s="99">
        <f t="shared" si="7"/>
        <v>1</v>
      </c>
      <c r="F223" s="99">
        <f t="shared" si="5"/>
        <v>1922037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221</v>
      </c>
      <c r="E224" s="99">
        <f t="shared" si="7"/>
        <v>1</v>
      </c>
      <c r="F224" s="99">
        <f t="shared" si="5"/>
        <v>660000000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219</v>
      </c>
      <c r="E225" s="99">
        <f t="shared" si="7"/>
        <v>0</v>
      </c>
      <c r="F225" s="99">
        <f t="shared" si="5"/>
        <v>-657197100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218</v>
      </c>
      <c r="E226" s="99">
        <f t="shared" si="7"/>
        <v>1</v>
      </c>
      <c r="F226" s="99">
        <f t="shared" si="5"/>
        <v>651000000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218</v>
      </c>
      <c r="E227" s="99">
        <f t="shared" si="7"/>
        <v>0</v>
      </c>
      <c r="F227" s="99">
        <f t="shared" si="5"/>
        <v>-38237200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217</v>
      </c>
      <c r="E228" s="99">
        <f t="shared" si="7"/>
        <v>0</v>
      </c>
      <c r="F228" s="99">
        <f t="shared" si="5"/>
        <v>-260508500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217</v>
      </c>
      <c r="E229" s="99">
        <f t="shared" si="7"/>
        <v>0</v>
      </c>
      <c r="F229" s="99">
        <f t="shared" si="5"/>
        <v>-4460435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216</v>
      </c>
      <c r="E230" s="99">
        <f t="shared" si="7"/>
        <v>0</v>
      </c>
      <c r="F230" s="99">
        <f t="shared" si="5"/>
        <v>-219124656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215</v>
      </c>
      <c r="E231" s="99">
        <f t="shared" si="7"/>
        <v>0</v>
      </c>
      <c r="F231" s="99">
        <f t="shared" si="5"/>
        <v>-5208375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214</v>
      </c>
      <c r="E232" s="99">
        <f t="shared" si="7"/>
        <v>1</v>
      </c>
      <c r="F232" s="99">
        <f t="shared" si="5"/>
        <v>234300000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214</v>
      </c>
      <c r="E233" s="99">
        <f t="shared" si="7"/>
        <v>0</v>
      </c>
      <c r="F233" s="99">
        <f t="shared" si="5"/>
        <v>-31650600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210</v>
      </c>
      <c r="E234" s="99">
        <f t="shared" si="7"/>
        <v>0</v>
      </c>
      <c r="F234" s="99">
        <f t="shared" si="5"/>
        <v>-14272650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205</v>
      </c>
      <c r="E235" s="99">
        <f t="shared" si="7"/>
        <v>0</v>
      </c>
      <c r="F235" s="99">
        <f t="shared" si="5"/>
        <v>-23520470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204</v>
      </c>
      <c r="E236" s="99">
        <f t="shared" si="7"/>
        <v>0</v>
      </c>
      <c r="F236" s="99">
        <f t="shared" si="5"/>
        <v>-73440000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204</v>
      </c>
      <c r="E237" s="99">
        <f t="shared" si="7"/>
        <v>0</v>
      </c>
      <c r="F237" s="99">
        <f t="shared" si="5"/>
        <v>-43044000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204</v>
      </c>
      <c r="E238" s="99">
        <f t="shared" si="7"/>
        <v>0</v>
      </c>
      <c r="F238" s="99">
        <f t="shared" si="5"/>
        <v>-38698800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203</v>
      </c>
      <c r="E239" s="99">
        <f t="shared" si="7"/>
        <v>0</v>
      </c>
      <c r="F239" s="99">
        <f t="shared" si="5"/>
        <v>-81301500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203</v>
      </c>
      <c r="E240" s="99">
        <f t="shared" si="7"/>
        <v>1</v>
      </c>
      <c r="F240" s="99">
        <f t="shared" si="5"/>
        <v>80800000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200</v>
      </c>
      <c r="E241" s="99">
        <f t="shared" si="7"/>
        <v>0</v>
      </c>
      <c r="F241" s="99">
        <f t="shared" si="5"/>
        <v>-64175000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193</v>
      </c>
      <c r="E242" s="99">
        <f t="shared" si="7"/>
        <v>1</v>
      </c>
      <c r="F242" s="99">
        <f t="shared" si="5"/>
        <v>1166208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191</v>
      </c>
      <c r="E243" s="99">
        <f t="shared" si="7"/>
        <v>0</v>
      </c>
      <c r="F243" s="99">
        <f t="shared" si="5"/>
        <v>-70765500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176</v>
      </c>
      <c r="E244" s="99">
        <f t="shared" si="7"/>
        <v>1</v>
      </c>
      <c r="F244" s="99">
        <f t="shared" si="5"/>
        <v>525000000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174</v>
      </c>
      <c r="E245" s="99">
        <f t="shared" si="7"/>
        <v>0</v>
      </c>
      <c r="F245" s="99">
        <f t="shared" si="5"/>
        <v>-13920000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173</v>
      </c>
      <c r="E246" s="99">
        <f t="shared" si="7"/>
        <v>0</v>
      </c>
      <c r="F246" s="99">
        <f t="shared" si="5"/>
        <v>-467100000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173</v>
      </c>
      <c r="E247" s="99">
        <f t="shared" si="7"/>
        <v>0</v>
      </c>
      <c r="F247" s="99">
        <f t="shared" si="5"/>
        <v>-5190000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171</v>
      </c>
      <c r="E248" s="99">
        <f t="shared" si="7"/>
        <v>0</v>
      </c>
      <c r="F248" s="99">
        <f t="shared" si="5"/>
        <v>-20520000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170</v>
      </c>
      <c r="E249" s="99">
        <f>IF(B250&gt;0,1,0)</f>
        <v>1</v>
      </c>
      <c r="F249" s="99">
        <f>B250*(D249-E249)</f>
        <v>135200000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169</v>
      </c>
      <c r="E250" s="99">
        <f>IF(B251&gt;0,1,0)</f>
        <v>0</v>
      </c>
      <c r="F250" s="99">
        <f>B251*(D250-E250)</f>
        <v>-3287050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168</v>
      </c>
      <c r="E251" s="99">
        <f>IF(B252&gt;0,1,0)</f>
        <v>0</v>
      </c>
      <c r="F251" s="99">
        <f>B252*(D251-E251)</f>
        <v>-84000000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168</v>
      </c>
      <c r="E252" s="99">
        <f>IF(B253&gt;0,1,0)</f>
        <v>1</v>
      </c>
      <c r="F252" s="99">
        <f>B253*(D252-E252)</f>
        <v>83500000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168</v>
      </c>
      <c r="E253" s="99">
        <f t="shared" ref="E253:E269" si="9">IF(B254&gt;0,1,0)</f>
        <v>0</v>
      </c>
      <c r="F253" s="99">
        <f>B254*(D253-E253)</f>
        <v>-76374984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168</v>
      </c>
      <c r="E254" s="99">
        <f t="shared" si="9"/>
        <v>0</v>
      </c>
      <c r="F254" s="99">
        <f t="shared" ref="F254:F269" si="10">B255*(D254-E254)</f>
        <v>-3292800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167</v>
      </c>
      <c r="E255" s="99">
        <f t="shared" si="9"/>
        <v>0</v>
      </c>
      <c r="F255" s="99">
        <f t="shared" si="10"/>
        <v>-4211740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167</v>
      </c>
      <c r="E256" s="99">
        <f t="shared" si="9"/>
        <v>0</v>
      </c>
      <c r="F256" s="99">
        <f t="shared" si="10"/>
        <v>-24966500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166</v>
      </c>
      <c r="E257" s="99">
        <f t="shared" si="9"/>
        <v>0</v>
      </c>
      <c r="F257" s="99">
        <f t="shared" si="10"/>
        <v>-25730000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166</v>
      </c>
      <c r="E258" s="99">
        <f t="shared" si="9"/>
        <v>0</v>
      </c>
      <c r="F258" s="99">
        <f t="shared" si="10"/>
        <v>-830000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84</v>
      </c>
      <c r="E259" s="99">
        <f t="shared" si="9"/>
        <v>1</v>
      </c>
      <c r="F259" s="99">
        <f t="shared" si="10"/>
        <v>8300000</v>
      </c>
      <c r="G259" s="99" t="s">
        <v>4249</v>
      </c>
    </row>
    <row r="260" spans="1:11">
      <c r="A260" s="99" t="s">
        <v>4608</v>
      </c>
      <c r="B260" s="113">
        <v>100000</v>
      </c>
      <c r="C260" s="99">
        <v>1</v>
      </c>
      <c r="D260" s="99">
        <f t="shared" si="8"/>
        <v>2</v>
      </c>
      <c r="E260" s="99">
        <f t="shared" si="9"/>
        <v>1</v>
      </c>
      <c r="F260" s="99">
        <f t="shared" si="10"/>
        <v>3000000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1</v>
      </c>
      <c r="D261" s="99">
        <f t="shared" si="8"/>
        <v>1</v>
      </c>
      <c r="E261" s="99">
        <f t="shared" si="9"/>
        <v>0</v>
      </c>
      <c r="F261" s="99">
        <f t="shared" si="10"/>
        <v>0</v>
      </c>
      <c r="G261" s="99" t="s">
        <v>3892</v>
      </c>
    </row>
    <row r="262" spans="1:11">
      <c r="A262" s="99"/>
      <c r="B262" s="113"/>
      <c r="C262" s="99"/>
      <c r="D262" s="99">
        <f t="shared" si="8"/>
        <v>0</v>
      </c>
      <c r="E262" s="99">
        <f t="shared" si="9"/>
        <v>0</v>
      </c>
      <c r="F262" s="99">
        <f t="shared" si="10"/>
        <v>0</v>
      </c>
      <c r="G262" s="99"/>
      <c r="K262" t="s">
        <v>25</v>
      </c>
    </row>
    <row r="263" spans="1:11">
      <c r="A263" s="99"/>
      <c r="B263" s="113"/>
      <c r="C263" s="99"/>
      <c r="D263" s="99">
        <f t="shared" si="8"/>
        <v>0</v>
      </c>
      <c r="E263" s="99">
        <f t="shared" si="9"/>
        <v>0</v>
      </c>
      <c r="F263" s="99">
        <f t="shared" si="10"/>
        <v>0</v>
      </c>
      <c r="G263" s="99"/>
      <c r="J263" t="s">
        <v>25</v>
      </c>
      <c r="K263" t="s">
        <v>25</v>
      </c>
    </row>
    <row r="264" spans="1:11">
      <c r="A264" s="99"/>
      <c r="B264" s="113"/>
      <c r="C264" s="99"/>
      <c r="D264" s="99">
        <f t="shared" si="8"/>
        <v>0</v>
      </c>
      <c r="E264" s="99">
        <f t="shared" si="9"/>
        <v>0</v>
      </c>
      <c r="F264" s="99">
        <f t="shared" si="10"/>
        <v>0</v>
      </c>
      <c r="G264" s="99"/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11"/>
      <c r="B269" s="3">
        <v>0</v>
      </c>
      <c r="C269" s="11">
        <v>0</v>
      </c>
      <c r="D269" s="99">
        <f t="shared" si="8"/>
        <v>0</v>
      </c>
      <c r="E269" s="99">
        <f t="shared" si="9"/>
        <v>0</v>
      </c>
      <c r="F269" s="99">
        <f t="shared" si="10"/>
        <v>0</v>
      </c>
      <c r="G269" s="11"/>
    </row>
    <row r="270" spans="1:11">
      <c r="A270" s="11"/>
      <c r="B270" s="3"/>
      <c r="C270" s="11"/>
      <c r="D270" s="99"/>
      <c r="E270" s="99"/>
      <c r="F270" s="99"/>
      <c r="G270" s="11"/>
    </row>
    <row r="271" spans="1:11">
      <c r="A271" s="11"/>
      <c r="B271" s="29">
        <f>SUM(B2:B269)</f>
        <v>3100299</v>
      </c>
      <c r="C271" s="11"/>
      <c r="D271" s="11"/>
      <c r="E271" s="11"/>
      <c r="F271" s="29">
        <f>SUM(F2:F269)</f>
        <v>18840974757</v>
      </c>
      <c r="G271" s="11"/>
    </row>
    <row r="272" spans="1:11">
      <c r="A272" s="11"/>
      <c r="B272" s="11" t="s">
        <v>6</v>
      </c>
      <c r="C272" s="11"/>
      <c r="D272" s="11"/>
      <c r="E272" s="11"/>
      <c r="F272" s="11" t="s">
        <v>284</v>
      </c>
      <c r="G272" s="11"/>
    </row>
    <row r="273" spans="1:7">
      <c r="A273" s="11"/>
      <c r="B273" s="11"/>
      <c r="C273" s="11"/>
      <c r="D273" s="11"/>
      <c r="E273" s="11"/>
      <c r="F273" s="11"/>
      <c r="G273" s="11"/>
    </row>
    <row r="274" spans="1:7">
      <c r="A274" s="11"/>
      <c r="B274" s="11"/>
      <c r="C274" s="11"/>
      <c r="D274" s="11"/>
      <c r="E274" s="11"/>
      <c r="F274" s="3">
        <f>F271/D2</f>
        <v>19979824.768822905</v>
      </c>
      <c r="G274" s="11"/>
    </row>
    <row r="275" spans="1:7">
      <c r="A275" s="11"/>
      <c r="B275" s="11"/>
      <c r="C275" s="11"/>
      <c r="D275" s="11"/>
      <c r="E275" s="11"/>
      <c r="F275" s="11" t="s">
        <v>286</v>
      </c>
      <c r="G275" s="11"/>
    </row>
    <row r="280" spans="1:7">
      <c r="D280" t="s">
        <v>25</v>
      </c>
    </row>
    <row r="281" spans="1:7">
      <c r="B281" s="7"/>
    </row>
    <row r="283" spans="1:7" ht="75">
      <c r="E283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4567</v>
      </c>
      <c r="B1" t="s">
        <v>4570</v>
      </c>
      <c r="C1" t="s">
        <v>4571</v>
      </c>
    </row>
    <row r="2" spans="1:3">
      <c r="A2" t="s">
        <v>4568</v>
      </c>
      <c r="B2" t="s">
        <v>4572</v>
      </c>
      <c r="C2" t="s">
        <v>4573</v>
      </c>
    </row>
    <row r="3" spans="1:3">
      <c r="A3" t="s">
        <v>4569</v>
      </c>
      <c r="B3" t="s">
        <v>4571</v>
      </c>
      <c r="C3" t="s">
        <v>4574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4608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"/>
  <sheetViews>
    <sheetView tabSelected="1" topLeftCell="M109" zoomScaleNormal="100" workbookViewId="0">
      <selection activeCell="O115" sqref="O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ایلیا'!B271</f>
        <v>3100299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سارا!D286</f>
        <v>25236041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4466</v>
      </c>
      <c r="N20" s="113">
        <v>50976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S52</f>
        <v>101</v>
      </c>
      <c r="T20" s="169" t="s">
        <v>4310</v>
      </c>
      <c r="U20" s="169">
        <v>192.1</v>
      </c>
      <c r="V20" s="169">
        <f t="shared" ref="V20:V31" si="4">U20*(1+$N$79+$Q$15*S20/36500)</f>
        <v>209.13532273972604</v>
      </c>
      <c r="W20" s="32">
        <f t="shared" ref="W20:W31" si="5">V20*(1+$W$19/100)</f>
        <v>213.31802919452056</v>
      </c>
      <c r="X20" s="32">
        <f t="shared" ref="X20:X31" si="6">V20*(1+$X$19/100)</f>
        <v>217.50073564931509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276</v>
      </c>
      <c r="AM20" s="113">
        <f>AJ20*AL20</f>
        <v>4968000000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4479</v>
      </c>
      <c r="L21" s="117">
        <f>-N29</f>
        <v>79132141.770705596</v>
      </c>
      <c r="M21" s="169" t="s">
        <v>4302</v>
      </c>
      <c r="N21" s="113">
        <f t="shared" ref="N21:N26" si="7">O21*P21</f>
        <v>12394839.6</v>
      </c>
      <c r="O21" s="99">
        <v>72231</v>
      </c>
      <c r="P21" s="188">
        <f>P40</f>
        <v>171.6</v>
      </c>
      <c r="Q21" s="170">
        <v>1450345</v>
      </c>
      <c r="R21" s="169" t="s">
        <v>4306</v>
      </c>
      <c r="S21" s="194">
        <f>S20-36</f>
        <v>65</v>
      </c>
      <c r="T21" s="169" t="s">
        <v>4311</v>
      </c>
      <c r="U21" s="169">
        <v>313.7</v>
      </c>
      <c r="V21" s="169">
        <f t="shared" si="4"/>
        <v>332.85546739726033</v>
      </c>
      <c r="W21" s="32">
        <f t="shared" si="5"/>
        <v>339.51257674520554</v>
      </c>
      <c r="X21" s="32">
        <f t="shared" si="6"/>
        <v>346.16968609315074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275</v>
      </c>
      <c r="AM21" s="113">
        <f t="shared" ref="AM21:AM115" si="9">AJ21*AL21</f>
        <v>687500000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4482</v>
      </c>
      <c r="L22" s="117">
        <f>-'دی 97'!D57</f>
        <v>-1161703</v>
      </c>
      <c r="M22" s="169" t="s">
        <v>4314</v>
      </c>
      <c r="N22" s="113">
        <f t="shared" si="7"/>
        <v>8021025.5999999996</v>
      </c>
      <c r="O22" s="99">
        <v>28504</v>
      </c>
      <c r="P22" s="188">
        <f>P42</f>
        <v>281.39999999999998</v>
      </c>
      <c r="Q22" s="170">
        <v>400069</v>
      </c>
      <c r="R22" s="169" t="s">
        <v>4312</v>
      </c>
      <c r="S22" s="194">
        <f>S21-1</f>
        <v>64</v>
      </c>
      <c r="T22" s="169" t="s">
        <v>4313</v>
      </c>
      <c r="U22" s="169">
        <v>314.8</v>
      </c>
      <c r="V22" s="169">
        <f t="shared" si="4"/>
        <v>333.78114630136992</v>
      </c>
      <c r="W22" s="32">
        <f t="shared" si="5"/>
        <v>340.45676922739733</v>
      </c>
      <c r="X22" s="32">
        <f t="shared" si="6"/>
        <v>347.13239215342475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274</v>
      </c>
      <c r="AM22" s="113">
        <f t="shared" si="9"/>
        <v>2192000000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 t="shared" si="7"/>
        <v>3740521.4</v>
      </c>
      <c r="O23" s="99">
        <v>781</v>
      </c>
      <c r="P23" s="99">
        <f>P43</f>
        <v>4789.3999999999996</v>
      </c>
      <c r="Q23" s="170">
        <v>7118256</v>
      </c>
      <c r="R23" s="169" t="s">
        <v>4312</v>
      </c>
      <c r="S23" s="194">
        <f>S22</f>
        <v>64</v>
      </c>
      <c r="T23" s="169" t="s">
        <v>4552</v>
      </c>
      <c r="U23" s="169">
        <v>313</v>
      </c>
      <c r="V23" s="169">
        <f t="shared" si="4"/>
        <v>331.87261369863018</v>
      </c>
      <c r="W23" s="32">
        <f t="shared" si="5"/>
        <v>338.51006597260277</v>
      </c>
      <c r="X23" s="32">
        <f t="shared" si="6"/>
        <v>345.14751824657537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273</v>
      </c>
      <c r="AM23" s="113">
        <f t="shared" si="9"/>
        <v>-21717696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>
        <f>L59</f>
        <v>256789640.77070558</v>
      </c>
      <c r="G24" s="95">
        <f t="shared" si="0"/>
        <v>23516704.611233056</v>
      </c>
      <c r="H24" s="11"/>
      <c r="I24" s="96"/>
      <c r="J24" s="96"/>
      <c r="K24" s="169"/>
      <c r="L24" s="117"/>
      <c r="M24" s="169"/>
      <c r="N24" s="113"/>
      <c r="O24" s="69"/>
      <c r="P24" s="99"/>
      <c r="Q24" s="170">
        <v>595156</v>
      </c>
      <c r="R24" s="169" t="s">
        <v>4399</v>
      </c>
      <c r="S24" s="195">
        <f>S23-16</f>
        <v>48</v>
      </c>
      <c r="T24" s="169" t="s">
        <v>4402</v>
      </c>
      <c r="U24" s="169">
        <v>5808.5</v>
      </c>
      <c r="V24" s="169">
        <f t="shared" si="4"/>
        <v>6087.4353095890419</v>
      </c>
      <c r="W24" s="32">
        <f t="shared" si="5"/>
        <v>6209.1840157808228</v>
      </c>
      <c r="X24" s="32">
        <f t="shared" si="6"/>
        <v>6330.9327219726038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272</v>
      </c>
      <c r="AM24" s="113">
        <f t="shared" si="9"/>
        <v>45016000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2" t="s">
        <v>4468</v>
      </c>
      <c r="N25" s="113">
        <v>51621</v>
      </c>
      <c r="O25" s="69"/>
      <c r="P25" s="99"/>
      <c r="Q25" s="170">
        <v>1484689</v>
      </c>
      <c r="R25" s="169" t="s">
        <v>4437</v>
      </c>
      <c r="S25" s="169">
        <f>S24-7</f>
        <v>41</v>
      </c>
      <c r="T25" s="19" t="s">
        <v>4440</v>
      </c>
      <c r="U25" s="169">
        <v>5474</v>
      </c>
      <c r="V25" s="169">
        <f t="shared" si="4"/>
        <v>5707.477347945206</v>
      </c>
      <c r="W25" s="32">
        <f t="shared" si="5"/>
        <v>5821.6268949041105</v>
      </c>
      <c r="X25" s="32">
        <f t="shared" si="6"/>
        <v>5935.776441863014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260</v>
      </c>
      <c r="AM25" s="113">
        <f t="shared" si="9"/>
        <v>-7495885020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2" t="s">
        <v>4446</v>
      </c>
      <c r="N26" s="113">
        <f t="shared" si="7"/>
        <v>2807204.4</v>
      </c>
      <c r="O26" s="69">
        <v>16359</v>
      </c>
      <c r="P26" s="99">
        <f>P40</f>
        <v>171.6</v>
      </c>
      <c r="Q26" s="170">
        <v>2197673</v>
      </c>
      <c r="R26" s="169" t="s">
        <v>4437</v>
      </c>
      <c r="S26" s="169">
        <f>S25</f>
        <v>41</v>
      </c>
      <c r="T26" s="19" t="s">
        <v>4441</v>
      </c>
      <c r="U26" s="169">
        <v>5349</v>
      </c>
      <c r="V26" s="169">
        <f t="shared" si="4"/>
        <v>5577.1458410958903</v>
      </c>
      <c r="W26" s="32">
        <f t="shared" si="5"/>
        <v>5688.6887579178083</v>
      </c>
      <c r="X26" s="32">
        <f t="shared" si="6"/>
        <v>5800.2316747397263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254</v>
      </c>
      <c r="AM26" s="113">
        <f t="shared" si="9"/>
        <v>4699000000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25</v>
      </c>
      <c r="L27" s="117"/>
      <c r="M27" s="169"/>
      <c r="N27" s="113"/>
      <c r="P27" t="s">
        <v>25</v>
      </c>
      <c r="Q27" s="170">
        <v>1353959</v>
      </c>
      <c r="R27" s="169" t="s">
        <v>4437</v>
      </c>
      <c r="S27" s="202">
        <f>S26</f>
        <v>41</v>
      </c>
      <c r="T27" s="19" t="s">
        <v>4484</v>
      </c>
      <c r="U27" s="169">
        <v>192.2</v>
      </c>
      <c r="V27" s="169">
        <f t="shared" si="4"/>
        <v>200.39772493150684</v>
      </c>
      <c r="W27" s="32">
        <f t="shared" si="5"/>
        <v>204.40567943013698</v>
      </c>
      <c r="X27" s="32">
        <f t="shared" si="6"/>
        <v>208.41363392876713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253</v>
      </c>
      <c r="AM27" s="113">
        <f t="shared" si="9"/>
        <v>-4693150000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t="s">
        <v>25</v>
      </c>
      <c r="P28" t="s">
        <v>25</v>
      </c>
      <c r="Q28" s="170">
        <v>1614398</v>
      </c>
      <c r="R28" s="169" t="s">
        <v>4445</v>
      </c>
      <c r="S28" s="169">
        <f>S27-3</f>
        <v>38</v>
      </c>
      <c r="T28" s="19" t="s">
        <v>4524</v>
      </c>
      <c r="U28" s="169">
        <v>184.6</v>
      </c>
      <c r="V28" s="169">
        <f t="shared" si="4"/>
        <v>192.04873643835617</v>
      </c>
      <c r="W28" s="32">
        <f t="shared" si="5"/>
        <v>195.88971116712329</v>
      </c>
      <c r="X28" s="32">
        <f t="shared" si="6"/>
        <v>199.73068589589042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252</v>
      </c>
      <c r="AM28" s="113">
        <f t="shared" si="9"/>
        <v>-16370172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4150</v>
      </c>
      <c r="N29" s="113">
        <f>-S98</f>
        <v>-79132141.770705596</v>
      </c>
      <c r="O29" s="96" t="s">
        <v>25</v>
      </c>
      <c r="P29" s="96" t="s">
        <v>25</v>
      </c>
      <c r="Q29" s="170">
        <v>133576</v>
      </c>
      <c r="R29" s="169" t="s">
        <v>4533</v>
      </c>
      <c r="S29" s="201">
        <f>S28-22</f>
        <v>16</v>
      </c>
      <c r="T29" s="169" t="s">
        <v>4534</v>
      </c>
      <c r="U29" s="169">
        <v>166.2</v>
      </c>
      <c r="V29" s="169">
        <f t="shared" si="4"/>
        <v>170.10137424657535</v>
      </c>
      <c r="W29" s="32">
        <f t="shared" si="5"/>
        <v>173.50340173150687</v>
      </c>
      <c r="X29" s="32">
        <f t="shared" si="6"/>
        <v>176.90542921643836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247</v>
      </c>
      <c r="AM29" s="113">
        <f t="shared" si="9"/>
        <v>1580800000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69" t="s">
        <v>753</v>
      </c>
      <c r="N30" s="113">
        <v>500000</v>
      </c>
      <c r="O30" s="96"/>
      <c r="P30" s="96"/>
      <c r="Q30" s="170">
        <v>220803</v>
      </c>
      <c r="R30" s="169" t="s">
        <v>4232</v>
      </c>
      <c r="S30" s="201">
        <f>S29-1</f>
        <v>15</v>
      </c>
      <c r="T30" s="169" t="s">
        <v>4541</v>
      </c>
      <c r="U30" s="169">
        <v>166</v>
      </c>
      <c r="V30" s="169">
        <f t="shared" si="4"/>
        <v>169.7693369863014</v>
      </c>
      <c r="W30" s="32">
        <f t="shared" si="5"/>
        <v>173.16472372602743</v>
      </c>
      <c r="X30" s="32">
        <f t="shared" si="6"/>
        <v>176.56011046575347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246</v>
      </c>
      <c r="AM30" s="113">
        <f t="shared" si="9"/>
        <v>-41820000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1086</v>
      </c>
      <c r="L31" s="117">
        <f>61*P15</f>
        <v>219600000</v>
      </c>
      <c r="M31" s="169" t="s">
        <v>760</v>
      </c>
      <c r="N31" s="113">
        <v>1200000</v>
      </c>
      <c r="O31" t="s">
        <v>25</v>
      </c>
      <c r="P31" t="s">
        <v>25</v>
      </c>
      <c r="Q31" s="170">
        <v>1023940</v>
      </c>
      <c r="R31" s="169" t="s">
        <v>4545</v>
      </c>
      <c r="S31" s="201">
        <f>S30-2</f>
        <v>13</v>
      </c>
      <c r="T31" s="169" t="s">
        <v>4553</v>
      </c>
      <c r="U31" s="169">
        <v>160.19999999999999</v>
      </c>
      <c r="V31" s="169">
        <f t="shared" si="4"/>
        <v>163.5918509589041</v>
      </c>
      <c r="W31" s="32">
        <f t="shared" si="5"/>
        <v>166.8636879780822</v>
      </c>
      <c r="X31" s="32">
        <f t="shared" si="6"/>
        <v>170.13552499726026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241</v>
      </c>
      <c r="AM31" s="113">
        <f t="shared" si="9"/>
        <v>-1518300000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4583</v>
      </c>
      <c r="L32" s="117">
        <v>-50000000</v>
      </c>
      <c r="M32" s="73"/>
      <c r="N32" s="113"/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240</v>
      </c>
      <c r="AM32" s="113">
        <f t="shared" si="9"/>
        <v>-12483600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4325</v>
      </c>
      <c r="L33" s="117">
        <v>-2000000</v>
      </c>
      <c r="M33" s="169" t="s">
        <v>1086</v>
      </c>
      <c r="N33" s="113">
        <f>60*P15</f>
        <v>216000000</v>
      </c>
      <c r="O33" s="96"/>
      <c r="P33" s="96"/>
      <c r="Q33" s="170">
        <f>SUM(N21:N23)-SUM(Q20:Q32)</f>
        <v>-2705464.4000000022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224</v>
      </c>
      <c r="AM33" s="113">
        <f t="shared" si="9"/>
        <v>4483897600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4520</v>
      </c>
      <c r="L34" s="117">
        <v>-1000000</v>
      </c>
      <c r="M34" s="169" t="s">
        <v>4585</v>
      </c>
      <c r="N34" s="113">
        <v>-20000000</v>
      </c>
      <c r="O34" s="96"/>
      <c r="P34" s="114"/>
      <c r="R34" s="115"/>
      <c r="S34" s="115" t="s">
        <v>25</v>
      </c>
      <c r="T34" s="115"/>
      <c r="U34" s="115"/>
      <c r="V34" s="115"/>
      <c r="W34" s="198"/>
      <c r="X34" s="198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224</v>
      </c>
      <c r="AM34" s="113">
        <f t="shared" si="9"/>
        <v>227240384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4586</v>
      </c>
      <c r="N35" s="113">
        <v>-50000000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212</v>
      </c>
      <c r="AM35" s="113">
        <f t="shared" si="9"/>
        <v>76320000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99" t="s">
        <v>4420</v>
      </c>
      <c r="L36" s="117">
        <v>3000000</v>
      </c>
      <c r="M36" s="169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210</v>
      </c>
      <c r="AM36" s="113">
        <f t="shared" si="9"/>
        <v>-73500000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/>
      <c r="L37" s="117"/>
      <c r="M37" s="169" t="s">
        <v>4467</v>
      </c>
      <c r="N37" s="113">
        <v>2814339</v>
      </c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4369</v>
      </c>
      <c r="V37" s="73" t="s">
        <v>4371</v>
      </c>
      <c r="W37" s="32">
        <v>2</v>
      </c>
      <c r="X37" s="32">
        <v>4</v>
      </c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210</v>
      </c>
      <c r="AM37" s="113">
        <f t="shared" si="9"/>
        <v>210000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69">
        <v>0</v>
      </c>
      <c r="R38" s="169" t="s">
        <v>4173</v>
      </c>
      <c r="S38" s="169">
        <f>S52</f>
        <v>101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209</v>
      </c>
      <c r="AM38" s="113">
        <f t="shared" si="9"/>
        <v>7024490000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/>
      <c r="L39" s="117"/>
      <c r="M39" s="32" t="s">
        <v>4397</v>
      </c>
      <c r="N39" s="113">
        <f t="shared" ref="N39:N48" si="13">O39*P39</f>
        <v>3372957.7</v>
      </c>
      <c r="O39" s="99">
        <v>1043</v>
      </c>
      <c r="P39" s="99">
        <v>3233.9</v>
      </c>
      <c r="Q39" s="170">
        <v>863944</v>
      </c>
      <c r="R39" s="169" t="s">
        <v>4445</v>
      </c>
      <c r="S39" s="169">
        <f>S38-62</f>
        <v>39</v>
      </c>
      <c r="T39" s="193" t="s">
        <v>4525</v>
      </c>
      <c r="U39" s="169">
        <v>184.6</v>
      </c>
      <c r="V39" s="169">
        <f>U39*(1+$N$79+$Q$15*S39/36500)</f>
        <v>192.19034739726027</v>
      </c>
      <c r="W39" s="32">
        <f>V39*(1+$W$19/100)</f>
        <v>196.03415434520548</v>
      </c>
      <c r="X39" s="32">
        <f>V39*(1+$X$19/100)</f>
        <v>199.87796129315069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205</v>
      </c>
      <c r="AM39" s="113">
        <f t="shared" si="9"/>
        <v>-3198000000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 t="s">
        <v>4180</v>
      </c>
      <c r="N40" s="113">
        <f t="shared" si="13"/>
        <v>194937771.59999999</v>
      </c>
      <c r="O40" s="99">
        <v>1136001</v>
      </c>
      <c r="P40" s="99">
        <v>171.6</v>
      </c>
      <c r="Q40" s="170">
        <v>1692313</v>
      </c>
      <c r="R40" s="169" t="s">
        <v>4529</v>
      </c>
      <c r="S40" s="201">
        <f>S39-21</f>
        <v>18</v>
      </c>
      <c r="T40" s="192" t="s">
        <v>4530</v>
      </c>
      <c r="U40" s="169">
        <v>168.5</v>
      </c>
      <c r="V40" s="169">
        <f>U40*(1+$N$79+$Q$15*S40/36500)</f>
        <v>172.71388493150687</v>
      </c>
      <c r="W40" s="32">
        <f t="shared" ref="W40:W43" si="14">V40*(1+$W$19/100)</f>
        <v>176.168162630137</v>
      </c>
      <c r="X40" s="32">
        <f t="shared" ref="X40:X43" si="15">V40*(1+$X$19/100)</f>
        <v>179.62244032876714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202</v>
      </c>
      <c r="AM40" s="113">
        <f t="shared" si="9"/>
        <v>1515000000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169" t="s">
        <v>4564</v>
      </c>
      <c r="N41" s="113">
        <f t="shared" si="13"/>
        <v>11466</v>
      </c>
      <c r="O41" s="99">
        <v>63</v>
      </c>
      <c r="P41" s="99">
        <v>182</v>
      </c>
      <c r="Q41" s="170">
        <v>101153</v>
      </c>
      <c r="R41" s="169" t="s">
        <v>4533</v>
      </c>
      <c r="S41" s="201">
        <f>S40-1</f>
        <v>17</v>
      </c>
      <c r="T41" s="192" t="s">
        <v>4535</v>
      </c>
      <c r="U41" s="169">
        <v>166.7</v>
      </c>
      <c r="V41" s="169">
        <f>U41*(1+$N$79+$Q$15*S41/36500)</f>
        <v>170.74099068493152</v>
      </c>
      <c r="W41" s="32">
        <f t="shared" si="14"/>
        <v>174.15581049863016</v>
      </c>
      <c r="X41" s="32">
        <f t="shared" si="15"/>
        <v>177.57063031232877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198</v>
      </c>
      <c r="AM41" s="113">
        <f t="shared" si="9"/>
        <v>-19404000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4297</v>
      </c>
      <c r="N42" s="113">
        <f t="shared" si="13"/>
        <v>2630808.5999999996</v>
      </c>
      <c r="O42" s="69">
        <v>9349</v>
      </c>
      <c r="P42" s="69">
        <v>281.39999999999998</v>
      </c>
      <c r="Q42" s="170">
        <v>183105</v>
      </c>
      <c r="R42" s="169" t="s">
        <v>4232</v>
      </c>
      <c r="S42" s="201">
        <f>S41-1</f>
        <v>16</v>
      </c>
      <c r="T42" s="192" t="s">
        <v>4540</v>
      </c>
      <c r="U42" s="169">
        <v>166.6</v>
      </c>
      <c r="V42" s="169">
        <f>U42*(1+$N$79+$Q$15*S42/36500)</f>
        <v>170.51076383561644</v>
      </c>
      <c r="W42" s="32">
        <f t="shared" si="14"/>
        <v>173.92097911232878</v>
      </c>
      <c r="X42" s="32">
        <f t="shared" si="15"/>
        <v>177.33119438904112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197</v>
      </c>
      <c r="AM42" s="113">
        <f t="shared" si="9"/>
        <v>-5122000000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169" t="s">
        <v>4401</v>
      </c>
      <c r="N43" s="113">
        <f t="shared" si="13"/>
        <v>3577681.8</v>
      </c>
      <c r="O43" s="69">
        <v>747</v>
      </c>
      <c r="P43" s="69">
        <v>4789.3999999999996</v>
      </c>
      <c r="Q43" s="170"/>
      <c r="R43" s="169"/>
      <c r="S43" s="113"/>
      <c r="T43" s="113"/>
      <c r="U43" s="169"/>
      <c r="V43" s="169">
        <f>U43*(1+$N$79+$Q$15*S43/36500)</f>
        <v>0</v>
      </c>
      <c r="W43" s="32">
        <f t="shared" si="14"/>
        <v>0</v>
      </c>
      <c r="X43" s="32">
        <f t="shared" si="15"/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197</v>
      </c>
      <c r="AM43" s="113">
        <f t="shared" si="9"/>
        <v>4925000000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4416</v>
      </c>
      <c r="N44" s="117">
        <f t="shared" si="13"/>
        <v>1184869.3999999999</v>
      </c>
      <c r="O44" s="69">
        <v>2431</v>
      </c>
      <c r="P44" s="69">
        <v>487.4</v>
      </c>
      <c r="Q44" s="113">
        <f>SUM(N26:N26)-SUM(Q38:Q43)</f>
        <v>-33310.600000000093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196</v>
      </c>
      <c r="AM44" s="113">
        <f t="shared" si="9"/>
        <v>21560000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73" t="s">
        <v>4595</v>
      </c>
      <c r="N45" s="117">
        <f t="shared" si="13"/>
        <v>196744.6</v>
      </c>
      <c r="O45" s="69">
        <v>403</v>
      </c>
      <c r="P45" s="69">
        <v>488.2</v>
      </c>
      <c r="R45" s="115"/>
      <c r="S45" s="115"/>
      <c r="T45" s="115" t="s">
        <v>25</v>
      </c>
      <c r="U45" s="115"/>
      <c r="V45" s="115"/>
      <c r="W45" s="198"/>
      <c r="X45" s="198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195</v>
      </c>
      <c r="AM45" s="113">
        <f t="shared" si="9"/>
        <v>74100000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 t="s">
        <v>25</v>
      </c>
      <c r="L46" s="117"/>
      <c r="M46" s="73" t="s">
        <v>4562</v>
      </c>
      <c r="N46" s="117">
        <f t="shared" si="13"/>
        <v>102941.29999999999</v>
      </c>
      <c r="O46" s="69">
        <v>29</v>
      </c>
      <c r="P46" s="69">
        <v>3549.7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198"/>
      <c r="X46" s="198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188</v>
      </c>
      <c r="AM46" s="113">
        <f t="shared" si="9"/>
        <v>84600000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4581</v>
      </c>
      <c r="N47" s="117">
        <f t="shared" si="13"/>
        <v>105848</v>
      </c>
      <c r="O47" s="69">
        <v>40</v>
      </c>
      <c r="P47" s="69">
        <v>2646.2</v>
      </c>
      <c r="T47" t="s">
        <v>25</v>
      </c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182</v>
      </c>
      <c r="AM47" s="113">
        <f t="shared" si="9"/>
        <v>509600000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1086</v>
      </c>
      <c r="N48" s="117">
        <f t="shared" si="13"/>
        <v>3990000</v>
      </c>
      <c r="O48" s="69">
        <v>10</v>
      </c>
      <c r="P48" s="69">
        <v>399000</v>
      </c>
      <c r="T48" t="s">
        <v>25</v>
      </c>
      <c r="U48" s="96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181</v>
      </c>
      <c r="AM48" s="113">
        <f t="shared" si="9"/>
        <v>-271500000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/>
      <c r="N49" s="117"/>
      <c r="O49" s="122"/>
      <c r="P49" s="122"/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181</v>
      </c>
      <c r="AM49" s="113">
        <f t="shared" si="9"/>
        <v>552050000</v>
      </c>
      <c r="AN49" s="99"/>
    </row>
    <row r="50" spans="1:40" ht="3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1153</v>
      </c>
      <c r="N50" s="117">
        <v>14908</v>
      </c>
      <c r="O50" s="96" t="s">
        <v>25</v>
      </c>
      <c r="P50" t="s">
        <v>25</v>
      </c>
      <c r="Q50" s="73" t="s">
        <v>4296</v>
      </c>
      <c r="R50" s="112"/>
      <c r="S50" s="112"/>
      <c r="T50" s="112"/>
      <c r="U50" s="169" t="s">
        <v>4369</v>
      </c>
      <c r="V50" s="36" t="s">
        <v>4371</v>
      </c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178</v>
      </c>
      <c r="AM50" s="113">
        <f t="shared" si="9"/>
        <v>-1477330936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169" t="s">
        <v>1154</v>
      </c>
      <c r="N51" s="117">
        <v>5282</v>
      </c>
      <c r="O51" s="96"/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176</v>
      </c>
      <c r="AM51" s="113">
        <f t="shared" si="9"/>
        <v>880000000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184971545</v>
      </c>
      <c r="R52" s="169" t="s">
        <v>4173</v>
      </c>
      <c r="S52" s="194">
        <v>101</v>
      </c>
      <c r="T52" s="169" t="s">
        <v>4352</v>
      </c>
      <c r="U52" s="169">
        <v>192</v>
      </c>
      <c r="V52" s="99">
        <f t="shared" ref="V52:V85" si="16">U52*(1+$N$79+$Q$15*S52/36500)</f>
        <v>209.02645479452059</v>
      </c>
      <c r="W52" s="32">
        <f t="shared" ref="W52:W68" si="17">V52*(1+$W$19/100)</f>
        <v>213.20698389041101</v>
      </c>
      <c r="X52" s="32">
        <f t="shared" ref="X52:X68" si="18">V52*(1+$X$19/100)</f>
        <v>217.38751298630143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162</v>
      </c>
      <c r="AM52" s="113">
        <f t="shared" si="9"/>
        <v>-14580000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 t="s">
        <v>25</v>
      </c>
      <c r="L53" s="117"/>
      <c r="M53" s="169" t="s">
        <v>4181</v>
      </c>
      <c r="N53" s="113">
        <f>-O53*P53</f>
        <v>-14203846.799999999</v>
      </c>
      <c r="O53" s="99">
        <v>82773</v>
      </c>
      <c r="P53" s="99">
        <f>P40</f>
        <v>171.6</v>
      </c>
      <c r="Q53" s="170">
        <v>9560464</v>
      </c>
      <c r="R53" s="169" t="s">
        <v>4300</v>
      </c>
      <c r="S53" s="194">
        <f>S52-31</f>
        <v>70</v>
      </c>
      <c r="T53" s="169" t="s">
        <v>4316</v>
      </c>
      <c r="U53" s="169">
        <v>214.57</v>
      </c>
      <c r="V53" s="99">
        <f t="shared" si="16"/>
        <v>228.49529906849318</v>
      </c>
      <c r="W53" s="32">
        <f t="shared" si="17"/>
        <v>233.06520504986304</v>
      </c>
      <c r="X53" s="32">
        <f t="shared" si="18"/>
        <v>237.63511103123292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161</v>
      </c>
      <c r="AM53" s="113">
        <f t="shared" si="9"/>
        <v>901600000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Q54" s="170">
        <v>2000000</v>
      </c>
      <c r="R54" s="169" t="s">
        <v>4347</v>
      </c>
      <c r="S54" s="169">
        <f>S53-11</f>
        <v>59</v>
      </c>
      <c r="T54" s="169" t="s">
        <v>4351</v>
      </c>
      <c r="U54" s="169">
        <v>206.8</v>
      </c>
      <c r="V54" s="99">
        <f t="shared" si="16"/>
        <v>218.47598465753427</v>
      </c>
      <c r="W54" s="32">
        <f t="shared" si="17"/>
        <v>222.84550435068496</v>
      </c>
      <c r="X54" s="32">
        <f t="shared" si="18"/>
        <v>227.21502404383565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157</v>
      </c>
      <c r="AM54" s="113">
        <f t="shared" si="9"/>
        <v>117750000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1429825</v>
      </c>
      <c r="R55" s="169" t="s">
        <v>4378</v>
      </c>
      <c r="S55" s="169">
        <f>S54-7</f>
        <v>52</v>
      </c>
      <c r="T55" s="169" t="s">
        <v>4387</v>
      </c>
      <c r="U55" s="169">
        <v>203.9</v>
      </c>
      <c r="V55" s="99">
        <f t="shared" si="16"/>
        <v>214.31733479452055</v>
      </c>
      <c r="W55" s="32">
        <f t="shared" si="17"/>
        <v>218.60368149041096</v>
      </c>
      <c r="X55" s="32">
        <f t="shared" si="18"/>
        <v>222.89002818630138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155</v>
      </c>
      <c r="AM55" s="171">
        <f t="shared" si="9"/>
        <v>-657510000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 t="s">
        <v>4454</v>
      </c>
      <c r="N56" s="113">
        <f>-S99</f>
        <v>-10983732.728455439</v>
      </c>
      <c r="Q56" s="170">
        <v>1420747</v>
      </c>
      <c r="R56" s="169" t="s">
        <v>4378</v>
      </c>
      <c r="S56" s="169">
        <f>S55</f>
        <v>52</v>
      </c>
      <c r="T56" s="169" t="s">
        <v>4389</v>
      </c>
      <c r="U56" s="169">
        <v>203.1</v>
      </c>
      <c r="V56" s="99">
        <f t="shared" si="16"/>
        <v>213.47646246575343</v>
      </c>
      <c r="W56" s="32">
        <f t="shared" si="17"/>
        <v>217.7459917150685</v>
      </c>
      <c r="X56" s="32">
        <f t="shared" si="18"/>
        <v>222.01552096438357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153</v>
      </c>
      <c r="AM56" s="113">
        <f t="shared" si="9"/>
        <v>627300000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P57" t="s">
        <v>25</v>
      </c>
      <c r="Q57" s="170">
        <v>2412371</v>
      </c>
      <c r="R57" s="169" t="s">
        <v>4380</v>
      </c>
      <c r="S57" s="169">
        <f>S56-1</f>
        <v>51</v>
      </c>
      <c r="T57" s="169" t="s">
        <v>4396</v>
      </c>
      <c r="U57" s="169">
        <v>3930</v>
      </c>
      <c r="V57" s="99">
        <f t="shared" si="16"/>
        <v>4127.7705205479451</v>
      </c>
      <c r="W57" s="32">
        <f t="shared" si="17"/>
        <v>4210.3259309589039</v>
      </c>
      <c r="X57" s="32">
        <f t="shared" si="18"/>
        <v>4292.8813413698626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153</v>
      </c>
      <c r="AM57" s="113">
        <f t="shared" si="9"/>
        <v>627300000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2010885</v>
      </c>
      <c r="R58" s="169" t="s">
        <v>4399</v>
      </c>
      <c r="S58" s="169">
        <f>S57-2</f>
        <v>49</v>
      </c>
      <c r="T58" s="169" t="s">
        <v>4405</v>
      </c>
      <c r="U58" s="169">
        <v>202.1</v>
      </c>
      <c r="V58" s="99">
        <f t="shared" si="16"/>
        <v>211.96026520547946</v>
      </c>
      <c r="W58" s="32">
        <f t="shared" si="17"/>
        <v>216.19947050958905</v>
      </c>
      <c r="X58" s="32">
        <f t="shared" si="18"/>
        <v>220.43867581369864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152</v>
      </c>
      <c r="AM58" s="113">
        <f t="shared" si="9"/>
        <v>120080000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 t="s">
        <v>598</v>
      </c>
      <c r="L59" s="113">
        <f>SUM(L16:L43)</f>
        <v>256789640.77070558</v>
      </c>
      <c r="M59" s="169"/>
      <c r="N59" s="113">
        <f>SUM(N16:N55)</f>
        <v>322760858.42929447</v>
      </c>
      <c r="Q59" s="170">
        <v>1994038</v>
      </c>
      <c r="R59" s="169" t="s">
        <v>4410</v>
      </c>
      <c r="S59" s="169">
        <f>S58-3</f>
        <v>46</v>
      </c>
      <c r="T59" s="169" t="s">
        <v>4427</v>
      </c>
      <c r="U59" s="169">
        <v>5560.3</v>
      </c>
      <c r="V59" s="99">
        <f t="shared" si="16"/>
        <v>5818.7853983561654</v>
      </c>
      <c r="W59" s="32">
        <f t="shared" si="17"/>
        <v>5935.1611063232885</v>
      </c>
      <c r="X59" s="32">
        <f t="shared" si="18"/>
        <v>6051.5368142904126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137</v>
      </c>
      <c r="AM59" s="173">
        <f t="shared" si="9"/>
        <v>-529505000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599</v>
      </c>
      <c r="L60" s="113">
        <f>L16+L17+L23</f>
        <v>3419202</v>
      </c>
      <c r="M60" s="169"/>
      <c r="N60" s="113">
        <f>N16+N17+N30</f>
        <v>25849346</v>
      </c>
      <c r="Q60" s="170">
        <v>1078880</v>
      </c>
      <c r="R60" s="169" t="s">
        <v>4410</v>
      </c>
      <c r="S60" s="196">
        <f>S59</f>
        <v>46</v>
      </c>
      <c r="T60" s="169" t="s">
        <v>4635</v>
      </c>
      <c r="U60" s="169">
        <v>441.8</v>
      </c>
      <c r="V60" s="99">
        <f t="shared" si="16"/>
        <v>462.33825315068498</v>
      </c>
      <c r="W60" s="32">
        <f t="shared" si="17"/>
        <v>471.58501821369867</v>
      </c>
      <c r="X60" s="32">
        <f t="shared" si="18"/>
        <v>480.83178327671237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131</v>
      </c>
      <c r="AM60" s="113">
        <f t="shared" si="9"/>
        <v>2462800000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56" t="s">
        <v>716</v>
      </c>
      <c r="L61" s="1">
        <f>L59+N7</f>
        <v>326789640.77070558</v>
      </c>
      <c r="M61" s="113"/>
      <c r="N61" s="169"/>
      <c r="O61" s="115"/>
      <c r="P61" s="115"/>
      <c r="Q61" s="170">
        <v>1971103</v>
      </c>
      <c r="R61" s="169" t="s">
        <v>4422</v>
      </c>
      <c r="S61" s="169">
        <f>S60-1</f>
        <v>45</v>
      </c>
      <c r="T61" s="169" t="s">
        <v>4423</v>
      </c>
      <c r="U61" s="169">
        <v>196.2</v>
      </c>
      <c r="V61" s="99">
        <f t="shared" si="16"/>
        <v>205.17037150684934</v>
      </c>
      <c r="W61" s="32">
        <f t="shared" si="17"/>
        <v>209.27377893698633</v>
      </c>
      <c r="X61" s="32">
        <f t="shared" si="18"/>
        <v>213.37718636712333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128</v>
      </c>
      <c r="AM61" s="113">
        <f t="shared" si="9"/>
        <v>64000000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O62" s="96"/>
      <c r="P62" s="96"/>
      <c r="Q62" s="170">
        <v>1049856</v>
      </c>
      <c r="R62" s="169" t="s">
        <v>4445</v>
      </c>
      <c r="S62" s="202">
        <f>S61-6</f>
        <v>39</v>
      </c>
      <c r="T62" s="169" t="s">
        <v>4485</v>
      </c>
      <c r="U62" s="169">
        <v>184.5</v>
      </c>
      <c r="V62" s="99">
        <f t="shared" si="16"/>
        <v>192.08623561643836</v>
      </c>
      <c r="W62" s="32">
        <f t="shared" si="17"/>
        <v>195.92796032876714</v>
      </c>
      <c r="X62" s="32">
        <f t="shared" si="18"/>
        <v>199.7696850410959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127</v>
      </c>
      <c r="AM62" s="113">
        <f t="shared" si="9"/>
        <v>25400000</v>
      </c>
      <c r="AN62" s="20"/>
    </row>
    <row r="63" spans="1:40">
      <c r="E63" s="26"/>
      <c r="M63" s="25"/>
      <c r="O63" t="s">
        <v>25</v>
      </c>
      <c r="Q63" s="170">
        <v>1783234</v>
      </c>
      <c r="R63" s="169" t="s">
        <v>4447</v>
      </c>
      <c r="S63" s="169">
        <f>S62-2</f>
        <v>37</v>
      </c>
      <c r="T63" s="169" t="s">
        <v>4448</v>
      </c>
      <c r="U63" s="169">
        <v>177.5</v>
      </c>
      <c r="V63" s="99">
        <f t="shared" si="16"/>
        <v>184.52608219178086</v>
      </c>
      <c r="W63" s="32">
        <f t="shared" si="17"/>
        <v>188.21660383561647</v>
      </c>
      <c r="X63" s="32">
        <f t="shared" si="18"/>
        <v>191.90712547945211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124</v>
      </c>
      <c r="AM63" s="113">
        <f t="shared" si="9"/>
        <v>124000000</v>
      </c>
      <c r="AN63" s="20"/>
    </row>
    <row r="64" spans="1:40">
      <c r="E64" s="26"/>
      <c r="M64" s="25" t="s">
        <v>4081</v>
      </c>
      <c r="P64" t="s">
        <v>25</v>
      </c>
      <c r="Q64" s="170">
        <v>1904396</v>
      </c>
      <c r="R64" s="169" t="s">
        <v>4447</v>
      </c>
      <c r="S64" s="201">
        <f>S63</f>
        <v>37</v>
      </c>
      <c r="T64" s="169" t="s">
        <v>4453</v>
      </c>
      <c r="U64" s="169">
        <v>4861</v>
      </c>
      <c r="V64" s="99">
        <f t="shared" si="16"/>
        <v>5053.4156931506859</v>
      </c>
      <c r="W64" s="32">
        <f t="shared" si="17"/>
        <v>5154.4840070136997</v>
      </c>
      <c r="X64" s="32">
        <f t="shared" si="18"/>
        <v>5255.5523208767136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121</v>
      </c>
      <c r="AM64" s="113">
        <f t="shared" si="9"/>
        <v>157300000</v>
      </c>
      <c r="AN64" s="20"/>
    </row>
    <row r="65" spans="1:40">
      <c r="M65" s="178"/>
      <c r="O65" s="22"/>
      <c r="Q65" s="170">
        <v>1826179</v>
      </c>
      <c r="R65" s="169" t="s">
        <v>4451</v>
      </c>
      <c r="S65" s="201">
        <f>S64-5</f>
        <v>32</v>
      </c>
      <c r="T65" s="73" t="s">
        <v>4493</v>
      </c>
      <c r="U65" s="169">
        <v>190.3</v>
      </c>
      <c r="V65" s="99">
        <f t="shared" si="16"/>
        <v>197.10283397260278</v>
      </c>
      <c r="W65" s="32">
        <f t="shared" si="17"/>
        <v>201.04489065205485</v>
      </c>
      <c r="X65" s="32">
        <f t="shared" si="18"/>
        <v>204.98694733150691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121</v>
      </c>
      <c r="AM65" s="113">
        <f t="shared" si="9"/>
        <v>120395000</v>
      </c>
      <c r="AN65" s="20"/>
    </row>
    <row r="66" spans="1:40">
      <c r="M66" s="96"/>
      <c r="O66" t="s">
        <v>25</v>
      </c>
      <c r="P66" t="s">
        <v>25</v>
      </c>
      <c r="Q66" s="170">
        <v>1049976</v>
      </c>
      <c r="R66" s="169" t="s">
        <v>4451</v>
      </c>
      <c r="S66" s="201">
        <f>S65</f>
        <v>32</v>
      </c>
      <c r="T66" s="73" t="s">
        <v>4500</v>
      </c>
      <c r="U66" s="169">
        <v>190.3</v>
      </c>
      <c r="V66" s="99">
        <f t="shared" si="16"/>
        <v>197.10283397260278</v>
      </c>
      <c r="W66" s="32">
        <f t="shared" si="17"/>
        <v>201.04489065205485</v>
      </c>
      <c r="X66" s="32">
        <f t="shared" si="18"/>
        <v>204.98694733150691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119</v>
      </c>
      <c r="AM66" s="113">
        <f t="shared" si="9"/>
        <v>1547000000</v>
      </c>
      <c r="AN66" s="20"/>
    </row>
    <row r="67" spans="1:40" ht="30">
      <c r="A67" t="s">
        <v>25</v>
      </c>
      <c r="F67" t="s">
        <v>310</v>
      </c>
      <c r="G67" t="s">
        <v>4100</v>
      </c>
      <c r="M67" s="122" t="s">
        <v>4417</v>
      </c>
      <c r="O67" s="114"/>
      <c r="Q67" s="170">
        <v>5881743</v>
      </c>
      <c r="R67" s="169" t="s">
        <v>4513</v>
      </c>
      <c r="S67" s="169">
        <f>S66-7</f>
        <v>25</v>
      </c>
      <c r="T67" s="73" t="s">
        <v>4527</v>
      </c>
      <c r="U67" s="169">
        <v>172.2</v>
      </c>
      <c r="V67" s="99">
        <f t="shared" si="16"/>
        <v>177.43110575342467</v>
      </c>
      <c r="W67" s="32">
        <f t="shared" si="17"/>
        <v>180.97972786849317</v>
      </c>
      <c r="X67" s="32">
        <f t="shared" si="18"/>
        <v>184.52834998356167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117</v>
      </c>
      <c r="AM67" s="113">
        <f t="shared" si="9"/>
        <v>-362700000</v>
      </c>
      <c r="AN67" s="20"/>
    </row>
    <row r="68" spans="1:40">
      <c r="F68" t="s">
        <v>4104</v>
      </c>
      <c r="G68" t="s">
        <v>4099</v>
      </c>
      <c r="M68" s="122" t="s">
        <v>4522</v>
      </c>
      <c r="N68" s="96"/>
      <c r="Q68" s="170">
        <v>674112</v>
      </c>
      <c r="R68" s="169" t="s">
        <v>4529</v>
      </c>
      <c r="S68" s="169">
        <f>S67-7</f>
        <v>18</v>
      </c>
      <c r="T68" s="73" t="s">
        <v>4531</v>
      </c>
      <c r="U68" s="169">
        <v>167.8</v>
      </c>
      <c r="V68" s="99">
        <f t="shared" si="16"/>
        <v>171.99637917808221</v>
      </c>
      <c r="W68" s="32">
        <f t="shared" si="17"/>
        <v>175.43630676164386</v>
      </c>
      <c r="X68" s="32">
        <f t="shared" si="18"/>
        <v>178.87623434520549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114</v>
      </c>
      <c r="AM68" s="113">
        <f t="shared" si="9"/>
        <v>5202960000</v>
      </c>
      <c r="AN68" s="20"/>
    </row>
    <row r="69" spans="1:40">
      <c r="F69" t="s">
        <v>4105</v>
      </c>
      <c r="G69" t="s">
        <v>4101</v>
      </c>
      <c r="M69" s="122" t="s">
        <v>4623</v>
      </c>
      <c r="N69" s="96"/>
      <c r="P69" t="s">
        <v>25</v>
      </c>
      <c r="Q69" s="170">
        <v>105046</v>
      </c>
      <c r="R69" s="169" t="s">
        <v>4533</v>
      </c>
      <c r="S69" s="169">
        <f>S68-1</f>
        <v>17</v>
      </c>
      <c r="T69" s="73" t="s">
        <v>4536</v>
      </c>
      <c r="U69" s="169">
        <v>167</v>
      </c>
      <c r="V69" s="99">
        <f t="shared" si="16"/>
        <v>171.04826301369866</v>
      </c>
      <c r="W69" s="32">
        <f t="shared" ref="W69:W85" si="20">V69*(1+$W$19/100)</f>
        <v>174.46922827397265</v>
      </c>
      <c r="X69" s="32">
        <f t="shared" ref="X69:X85" si="21">V69*(1+$X$19/100)</f>
        <v>177.89019353424661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113</v>
      </c>
      <c r="AM69" s="113">
        <f t="shared" si="9"/>
        <v>3785500000</v>
      </c>
      <c r="AN69" s="20"/>
    </row>
    <row r="70" spans="1:40">
      <c r="G70" t="s">
        <v>4102</v>
      </c>
      <c r="M70" s="211" t="s">
        <v>4610</v>
      </c>
      <c r="N70" s="96"/>
      <c r="P70" s="115"/>
      <c r="Q70" s="170">
        <v>220269</v>
      </c>
      <c r="R70" s="169" t="s">
        <v>4232</v>
      </c>
      <c r="S70" s="169">
        <f>S69-1</f>
        <v>16</v>
      </c>
      <c r="T70" s="73" t="s">
        <v>4542</v>
      </c>
      <c r="U70" s="169">
        <v>165.1</v>
      </c>
      <c r="V70" s="99">
        <f t="shared" si="16"/>
        <v>168.97555287671233</v>
      </c>
      <c r="W70" s="32">
        <f t="shared" si="20"/>
        <v>172.35506393424657</v>
      </c>
      <c r="X70" s="32">
        <f t="shared" si="21"/>
        <v>175.73457499178082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112</v>
      </c>
      <c r="AM70" s="117">
        <f t="shared" si="9"/>
        <v>1344000000</v>
      </c>
      <c r="AN70" s="20"/>
    </row>
    <row r="71" spans="1:40">
      <c r="G71" t="s">
        <v>4103</v>
      </c>
      <c r="M71" s="122" t="s">
        <v>4521</v>
      </c>
      <c r="N71" s="96"/>
      <c r="P71" s="115" t="s">
        <v>25</v>
      </c>
      <c r="Q71" s="117">
        <v>277822</v>
      </c>
      <c r="R71" s="169" t="s">
        <v>4232</v>
      </c>
      <c r="S71" s="169">
        <f>S70</f>
        <v>16</v>
      </c>
      <c r="T71" s="73" t="s">
        <v>4543</v>
      </c>
      <c r="U71" s="169">
        <v>165</v>
      </c>
      <c r="V71" s="99">
        <f t="shared" si="16"/>
        <v>168.87320547945205</v>
      </c>
      <c r="W71" s="32">
        <f t="shared" si="20"/>
        <v>172.25066958904111</v>
      </c>
      <c r="X71" s="32">
        <f t="shared" si="21"/>
        <v>175.62813369863014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111</v>
      </c>
      <c r="AM71" s="117">
        <f t="shared" si="9"/>
        <v>1720500000</v>
      </c>
      <c r="AN71" s="20"/>
    </row>
    <row r="72" spans="1:40">
      <c r="G72" t="s">
        <v>4107</v>
      </c>
      <c r="M72" s="122" t="s">
        <v>4627</v>
      </c>
      <c r="O72" t="s">
        <v>25</v>
      </c>
      <c r="P72" s="115"/>
      <c r="Q72" s="170">
        <v>165664</v>
      </c>
      <c r="R72" s="169" t="s">
        <v>4232</v>
      </c>
      <c r="S72" s="169">
        <f>S71</f>
        <v>16</v>
      </c>
      <c r="T72" s="73" t="s">
        <v>4544</v>
      </c>
      <c r="U72" s="169">
        <v>164.9</v>
      </c>
      <c r="V72" s="99">
        <f t="shared" si="16"/>
        <v>168.77085808219178</v>
      </c>
      <c r="W72" s="32">
        <f t="shared" si="20"/>
        <v>172.14627524383562</v>
      </c>
      <c r="X72" s="32">
        <f t="shared" si="21"/>
        <v>175.52169240547946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107</v>
      </c>
      <c r="AM72" s="117">
        <f t="shared" si="9"/>
        <v>16050000</v>
      </c>
      <c r="AN72" s="20"/>
    </row>
    <row r="73" spans="1:40">
      <c r="G73" t="s">
        <v>4106</v>
      </c>
      <c r="M73" s="96">
        <f>O40+O41+O21+O26-O53</f>
        <v>1141881</v>
      </c>
      <c r="N73" s="113">
        <f>M73*P40</f>
        <v>195946779.59999999</v>
      </c>
      <c r="P73" s="115"/>
      <c r="Q73" s="170">
        <v>1498</v>
      </c>
      <c r="R73" s="169" t="s">
        <v>4232</v>
      </c>
      <c r="S73" s="169">
        <f>S72</f>
        <v>16</v>
      </c>
      <c r="T73" s="73" t="s">
        <v>4619</v>
      </c>
      <c r="U73" s="169">
        <v>165.7</v>
      </c>
      <c r="V73" s="99">
        <f t="shared" si="16"/>
        <v>169.58963726027397</v>
      </c>
      <c r="W73" s="32">
        <f t="shared" si="20"/>
        <v>172.98143000547947</v>
      </c>
      <c r="X73" s="32">
        <f t="shared" si="21"/>
        <v>176.37322275068493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9"/>
        <v>106</v>
      </c>
      <c r="AM73" s="182">
        <f t="shared" si="9"/>
        <v>3074000000</v>
      </c>
      <c r="AN73" s="181" t="s">
        <v>4187</v>
      </c>
    </row>
    <row r="74" spans="1:40">
      <c r="M74" t="s">
        <v>4268</v>
      </c>
      <c r="P74" s="115"/>
      <c r="Q74" s="170">
        <v>103273</v>
      </c>
      <c r="R74" s="169" t="s">
        <v>4579</v>
      </c>
      <c r="S74" s="169">
        <f>S73-6</f>
        <v>10</v>
      </c>
      <c r="T74" s="73" t="s">
        <v>4611</v>
      </c>
      <c r="U74" s="169">
        <v>3544.7</v>
      </c>
      <c r="V74" s="99">
        <f t="shared" si="16"/>
        <v>3611.5928591780826</v>
      </c>
      <c r="W74" s="32">
        <f t="shared" si="20"/>
        <v>3683.8247163616443</v>
      </c>
      <c r="X74" s="32">
        <f t="shared" si="21"/>
        <v>3756.056573545206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91</v>
      </c>
      <c r="AM74" s="117">
        <f t="shared" si="9"/>
        <v>-11830000</v>
      </c>
      <c r="AN74" s="20" t="s">
        <v>4213</v>
      </c>
    </row>
    <row r="75" spans="1:40">
      <c r="N75" t="s">
        <v>25</v>
      </c>
      <c r="P75" s="115"/>
      <c r="Q75" s="170">
        <v>103031</v>
      </c>
      <c r="R75" s="169" t="s">
        <v>4580</v>
      </c>
      <c r="S75" s="169">
        <f>S74-1</f>
        <v>9</v>
      </c>
      <c r="T75" s="73" t="s">
        <v>4612</v>
      </c>
      <c r="U75" s="169">
        <v>2564</v>
      </c>
      <c r="V75" s="99">
        <f t="shared" si="16"/>
        <v>2610.418936986302</v>
      </c>
      <c r="W75" s="32">
        <f t="shared" si="20"/>
        <v>2662.627315726028</v>
      </c>
      <c r="X75" s="32">
        <f t="shared" si="21"/>
        <v>2714.8356944657544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84</v>
      </c>
      <c r="AM75" s="117">
        <f>AJ75*AL75</f>
        <v>19488000</v>
      </c>
      <c r="AN75" s="20" t="s">
        <v>4261</v>
      </c>
    </row>
    <row r="76" spans="1:40">
      <c r="D76" s="3"/>
      <c r="E76" s="11" t="s">
        <v>304</v>
      </c>
      <c r="P76" s="115"/>
      <c r="Q76" s="170">
        <v>159753</v>
      </c>
      <c r="R76" s="169" t="s">
        <v>4592</v>
      </c>
      <c r="S76" s="169">
        <f>S75-2</f>
        <v>7</v>
      </c>
      <c r="T76" s="73" t="s">
        <v>4613</v>
      </c>
      <c r="U76" s="169">
        <v>286</v>
      </c>
      <c r="V76" s="99">
        <f t="shared" si="16"/>
        <v>290.73898082191783</v>
      </c>
      <c r="W76" s="32">
        <f t="shared" si="20"/>
        <v>296.55376043835622</v>
      </c>
      <c r="X76" s="32">
        <f t="shared" si="21"/>
        <v>302.36854005479455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82</v>
      </c>
      <c r="AM76" s="117">
        <f t="shared" si="9"/>
        <v>-13940000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11443</v>
      </c>
      <c r="R77" s="169" t="s">
        <v>4592</v>
      </c>
      <c r="S77" s="169">
        <f>S76</f>
        <v>7</v>
      </c>
      <c r="T77" s="73" t="s">
        <v>4614</v>
      </c>
      <c r="U77" s="169">
        <v>180.8</v>
      </c>
      <c r="V77" s="99">
        <f t="shared" si="16"/>
        <v>183.79583123287676</v>
      </c>
      <c r="W77" s="32">
        <f t="shared" si="20"/>
        <v>187.4717478575343</v>
      </c>
      <c r="X77" s="32">
        <f t="shared" si="21"/>
        <v>191.14766448219183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79</v>
      </c>
      <c r="AM77" s="117">
        <f t="shared" si="9"/>
        <v>-23700000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172133</v>
      </c>
      <c r="R78" s="169" t="s">
        <v>4594</v>
      </c>
      <c r="S78" s="169">
        <f>S77-3</f>
        <v>4</v>
      </c>
      <c r="T78" s="73" t="s">
        <v>4615</v>
      </c>
      <c r="U78" s="169">
        <v>287</v>
      </c>
      <c r="V78" s="99">
        <f t="shared" si="16"/>
        <v>291.09505753424662</v>
      </c>
      <c r="W78" s="32">
        <f t="shared" si="20"/>
        <v>296.91695868493156</v>
      </c>
      <c r="X78" s="32">
        <f t="shared" si="21"/>
        <v>302.73885983561649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76</v>
      </c>
      <c r="AM78" s="117">
        <f t="shared" si="9"/>
        <v>-866400000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100530</v>
      </c>
      <c r="R79" s="169" t="s">
        <v>4594</v>
      </c>
      <c r="S79" s="169">
        <f>S78</f>
        <v>4</v>
      </c>
      <c r="T79" s="73" t="s">
        <v>4616</v>
      </c>
      <c r="U79" s="169">
        <v>508</v>
      </c>
      <c r="V79" s="99">
        <f t="shared" si="16"/>
        <v>515.248394520548</v>
      </c>
      <c r="W79" s="32">
        <f t="shared" si="20"/>
        <v>525.55336241095893</v>
      </c>
      <c r="X79" s="32">
        <f t="shared" si="21"/>
        <v>535.85833030136996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63</v>
      </c>
      <c r="AM79" s="117">
        <f>AJ79*AL79</f>
        <v>-630000000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1404915</v>
      </c>
      <c r="R80" s="169" t="s">
        <v>994</v>
      </c>
      <c r="S80" s="169">
        <f>S79-2</f>
        <v>2</v>
      </c>
      <c r="T80" s="73" t="s">
        <v>4617</v>
      </c>
      <c r="U80" s="169">
        <v>3237.1</v>
      </c>
      <c r="V80" s="99">
        <f t="shared" si="16"/>
        <v>3278.3220295890414</v>
      </c>
      <c r="W80" s="32">
        <f t="shared" si="20"/>
        <v>3343.8884701808224</v>
      </c>
      <c r="X80" s="32">
        <f t="shared" si="21"/>
        <v>3409.4549107726034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62</v>
      </c>
      <c r="AM80" s="117">
        <f>AJ80*AL80</f>
        <v>-151900000</v>
      </c>
      <c r="AN80" s="20"/>
    </row>
    <row r="81" spans="4:52">
      <c r="D81" s="31" t="s">
        <v>308</v>
      </c>
      <c r="E81" s="1">
        <v>300000</v>
      </c>
      <c r="Q81" s="170">
        <v>2344964</v>
      </c>
      <c r="R81" s="169" t="s">
        <v>994</v>
      </c>
      <c r="S81" s="169">
        <f>S80</f>
        <v>2</v>
      </c>
      <c r="T81" s="73" t="s">
        <v>4618</v>
      </c>
      <c r="U81" s="169">
        <v>284.7</v>
      </c>
      <c r="V81" s="99">
        <f t="shared" si="16"/>
        <v>288.32544000000001</v>
      </c>
      <c r="W81" s="32">
        <f t="shared" si="20"/>
        <v>294.09194880000001</v>
      </c>
      <c r="X81" s="32">
        <f t="shared" si="21"/>
        <v>299.85845760000001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57</v>
      </c>
      <c r="AM81" s="117">
        <f t="shared" si="9"/>
        <v>-25996617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Q82" s="170">
        <v>100984</v>
      </c>
      <c r="R82" s="169" t="s">
        <v>4624</v>
      </c>
      <c r="S82" s="169">
        <f>S81-1</f>
        <v>1</v>
      </c>
      <c r="T82" s="73" t="s">
        <v>4625</v>
      </c>
      <c r="U82" s="169">
        <v>488</v>
      </c>
      <c r="V82" s="99">
        <f t="shared" si="16"/>
        <v>493.83995616438358</v>
      </c>
      <c r="W82" s="32">
        <f t="shared" si="20"/>
        <v>503.71675528767128</v>
      </c>
      <c r="X82" s="32">
        <f t="shared" si="21"/>
        <v>513.59355441095897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56</v>
      </c>
      <c r="AM82" s="117">
        <f t="shared" si="9"/>
        <v>-28000000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97" t="s">
        <v>4559</v>
      </c>
      <c r="O83" t="s">
        <v>4602</v>
      </c>
      <c r="P83">
        <v>19177902</v>
      </c>
      <c r="Q83" s="170">
        <v>1025032</v>
      </c>
      <c r="R83" s="169" t="s">
        <v>4624</v>
      </c>
      <c r="S83" s="169">
        <f>S82</f>
        <v>1</v>
      </c>
      <c r="T83" s="73" t="s">
        <v>4626</v>
      </c>
      <c r="U83" s="169">
        <v>170.1</v>
      </c>
      <c r="V83" s="99">
        <f t="shared" si="16"/>
        <v>172.13560767123286</v>
      </c>
      <c r="W83" s="32">
        <f t="shared" si="20"/>
        <v>175.57831982465751</v>
      </c>
      <c r="X83" s="32">
        <f t="shared" si="21"/>
        <v>179.02103197808219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54</v>
      </c>
      <c r="AM83" s="117">
        <f t="shared" si="9"/>
        <v>-336655980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4560</v>
      </c>
      <c r="O84" t="s">
        <v>4631</v>
      </c>
      <c r="P84">
        <v>19635512</v>
      </c>
      <c r="Q84" s="170">
        <v>1240810</v>
      </c>
      <c r="R84" s="169" t="s">
        <v>4628</v>
      </c>
      <c r="S84" s="169">
        <f>S83-1</f>
        <v>0</v>
      </c>
      <c r="T84" s="73" t="s">
        <v>4634</v>
      </c>
      <c r="U84" s="169">
        <v>169.3</v>
      </c>
      <c r="V84" s="99">
        <f t="shared" si="16"/>
        <v>171.19616000000002</v>
      </c>
      <c r="W84" s="32">
        <f t="shared" si="20"/>
        <v>174.62008320000001</v>
      </c>
      <c r="X84" s="32">
        <f t="shared" si="21"/>
        <v>178.04400640000003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51</v>
      </c>
      <c r="AM84" s="117">
        <f t="shared" si="9"/>
        <v>99498807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4561</v>
      </c>
      <c r="O85" t="s">
        <v>4632</v>
      </c>
      <c r="P85">
        <v>3970256</v>
      </c>
      <c r="Q85" s="170">
        <v>3970256</v>
      </c>
      <c r="R85" s="169" t="s">
        <v>4628</v>
      </c>
      <c r="S85" s="169">
        <f>S84</f>
        <v>0</v>
      </c>
      <c r="T85" s="73" t="s">
        <v>4633</v>
      </c>
      <c r="U85" s="169">
        <v>396530</v>
      </c>
      <c r="V85" s="99">
        <f t="shared" si="16"/>
        <v>400971.13600000006</v>
      </c>
      <c r="W85" s="32">
        <f t="shared" si="20"/>
        <v>408990.55872000009</v>
      </c>
      <c r="X85" s="32">
        <f t="shared" si="21"/>
        <v>417009.98144000006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47</v>
      </c>
      <c r="AM85" s="117">
        <f t="shared" si="9"/>
        <v>28200000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4397</v>
      </c>
      <c r="Q86" s="170"/>
      <c r="R86" s="169"/>
      <c r="S86" s="169"/>
      <c r="T86" s="169"/>
      <c r="U86" s="169"/>
      <c r="V86" s="99" t="s">
        <v>25</v>
      </c>
      <c r="W86" s="32"/>
      <c r="X86" s="32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42</v>
      </c>
      <c r="AM86" s="117">
        <f t="shared" si="9"/>
        <v>315000000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4416</v>
      </c>
      <c r="Q87" s="113">
        <f>SUM(N39:N48)-SUM(Q52:Q86)</f>
        <v>-24415688</v>
      </c>
      <c r="R87" s="112"/>
      <c r="S87" s="112"/>
      <c r="T87" s="112"/>
      <c r="U87" s="169"/>
      <c r="V87" s="99" t="s">
        <v>25</v>
      </c>
      <c r="W87" s="32"/>
      <c r="X87" s="32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40</v>
      </c>
      <c r="AM87" s="117">
        <f t="shared" si="9"/>
        <v>-23512640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4562</v>
      </c>
      <c r="Q88" s="26"/>
      <c r="R88" s="183"/>
      <c r="S88" s="183"/>
      <c r="T88" t="s">
        <v>25</v>
      </c>
      <c r="U88" s="96" t="s">
        <v>25</v>
      </c>
      <c r="V88" s="96" t="s">
        <v>25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37</v>
      </c>
      <c r="AM88" s="117">
        <f t="shared" si="9"/>
        <v>-33577093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4401</v>
      </c>
      <c r="R89" s="32" t="s">
        <v>4607</v>
      </c>
      <c r="S89" s="32" t="s">
        <v>950</v>
      </c>
      <c r="T89" t="s">
        <v>25</v>
      </c>
      <c r="U89" s="96" t="s">
        <v>25</v>
      </c>
      <c r="V89" s="96" t="s">
        <v>25</v>
      </c>
      <c r="W89" s="96" t="s">
        <v>25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37</v>
      </c>
      <c r="AM89" s="117">
        <f t="shared" si="9"/>
        <v>90650000</v>
      </c>
      <c r="AN89" s="20" t="s">
        <v>4491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4563</v>
      </c>
      <c r="R90" s="32">
        <v>4431</v>
      </c>
      <c r="S90" s="170">
        <v>1966482</v>
      </c>
      <c r="U90" s="96" t="s">
        <v>25</v>
      </c>
      <c r="V90" s="122" t="s">
        <v>25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4494</v>
      </c>
      <c r="AJ90" s="117">
        <v>1500000</v>
      </c>
      <c r="AK90" s="20">
        <v>1</v>
      </c>
      <c r="AL90" s="99">
        <f t="shared" si="19"/>
        <v>36</v>
      </c>
      <c r="AM90" s="117">
        <f t="shared" si="9"/>
        <v>54000000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4564</v>
      </c>
      <c r="P91" s="115"/>
      <c r="Q91" t="s">
        <v>25</v>
      </c>
      <c r="R91" s="32">
        <v>2000</v>
      </c>
      <c r="S91" s="1">
        <f>S90*R91/R90</f>
        <v>887601.89573459711</v>
      </c>
      <c r="U91" s="96" t="s">
        <v>25</v>
      </c>
      <c r="W91" s="96" t="s">
        <v>25</v>
      </c>
      <c r="X91" t="s">
        <v>25</v>
      </c>
      <c r="Y91" s="115"/>
      <c r="Z91" s="115"/>
      <c r="AA91" s="115"/>
      <c r="AE91"/>
      <c r="AG91" s="96"/>
      <c r="AH91" s="20">
        <v>71</v>
      </c>
      <c r="AI91" s="117" t="s">
        <v>4501</v>
      </c>
      <c r="AJ91" s="117">
        <v>2648000</v>
      </c>
      <c r="AK91" s="20">
        <v>1</v>
      </c>
      <c r="AL91" s="99">
        <f t="shared" si="19"/>
        <v>35</v>
      </c>
      <c r="AM91" s="117">
        <f t="shared" si="9"/>
        <v>92680000</v>
      </c>
      <c r="AN91" s="20" t="s">
        <v>4502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P92" s="128"/>
      <c r="R92" s="32">
        <f>R90-R91</f>
        <v>2431</v>
      </c>
      <c r="S92" s="1">
        <f>R92*S90/R90</f>
        <v>1078880.1042654028</v>
      </c>
      <c r="V92" s="96"/>
      <c r="W92"/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34</v>
      </c>
      <c r="AM92" s="117">
        <f t="shared" si="9"/>
        <v>20910000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V93" s="96"/>
      <c r="W93"/>
      <c r="Y93" s="115"/>
      <c r="Z93" s="115"/>
      <c r="AA93" s="115"/>
      <c r="AE93"/>
      <c r="AG93" s="96"/>
      <c r="AH93" s="20">
        <v>73</v>
      </c>
      <c r="AI93" s="117" t="s">
        <v>4513</v>
      </c>
      <c r="AJ93" s="117">
        <v>14000000</v>
      </c>
      <c r="AK93" s="20">
        <v>2</v>
      </c>
      <c r="AL93" s="99">
        <f>AL94+AK93</f>
        <v>30</v>
      </c>
      <c r="AM93" s="117">
        <f t="shared" si="9"/>
        <v>420000000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15"/>
      <c r="Q94" s="99" t="s">
        <v>4471</v>
      </c>
      <c r="R94" s="99" t="s">
        <v>4473</v>
      </c>
      <c r="S94" s="99"/>
      <c r="T94" s="99" t="s">
        <v>4474</v>
      </c>
      <c r="U94" s="99"/>
      <c r="V94" s="99"/>
      <c r="W94" s="99" t="s">
        <v>4622</v>
      </c>
      <c r="AH94" s="20">
        <v>74</v>
      </c>
      <c r="AI94" s="117" t="s">
        <v>4519</v>
      </c>
      <c r="AJ94" s="117">
        <v>1313000</v>
      </c>
      <c r="AK94" s="20">
        <v>0</v>
      </c>
      <c r="AL94" s="99">
        <f>AL95+AK94</f>
        <v>28</v>
      </c>
      <c r="AM94" s="117">
        <f t="shared" si="9"/>
        <v>36764000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Q95" s="113">
        <v>1000</v>
      </c>
      <c r="R95" s="99">
        <v>0.25</v>
      </c>
      <c r="S95" s="99"/>
      <c r="T95" s="99">
        <f>1-R95</f>
        <v>0.75</v>
      </c>
      <c r="U95" s="99"/>
      <c r="V95" s="99"/>
      <c r="W95" s="99"/>
      <c r="AH95" s="99">
        <v>75</v>
      </c>
      <c r="AI95" s="113" t="s">
        <v>4519</v>
      </c>
      <c r="AJ95" s="113">
        <v>2269000</v>
      </c>
      <c r="AK95" s="99">
        <v>1</v>
      </c>
      <c r="AL95" s="99">
        <f t="shared" ref="AL95:AL115" si="22">AL96+AK95</f>
        <v>28</v>
      </c>
      <c r="AM95" s="117">
        <f t="shared" si="9"/>
        <v>63532000</v>
      </c>
      <c r="AN95" s="99"/>
    </row>
    <row r="96" spans="4:52">
      <c r="D96" s="32" t="s">
        <v>314</v>
      </c>
      <c r="E96" s="1">
        <v>140000</v>
      </c>
      <c r="Q96" s="169" t="s">
        <v>4458</v>
      </c>
      <c r="R96" s="169" t="s">
        <v>4476</v>
      </c>
      <c r="S96" s="169" t="s">
        <v>4478</v>
      </c>
      <c r="T96" s="169" t="s">
        <v>180</v>
      </c>
      <c r="U96" s="169" t="s">
        <v>4472</v>
      </c>
      <c r="V96" s="56" t="s">
        <v>4475</v>
      </c>
      <c r="W96" s="99"/>
      <c r="X96" s="115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2"/>
        <v>27</v>
      </c>
      <c r="AM96" s="117">
        <f t="shared" si="9"/>
        <v>20250000</v>
      </c>
      <c r="AN96" s="99"/>
    </row>
    <row r="97" spans="4:47">
      <c r="D97" s="2" t="s">
        <v>478</v>
      </c>
      <c r="E97" s="3">
        <v>1083333</v>
      </c>
      <c r="Q97" s="169" t="s">
        <v>751</v>
      </c>
      <c r="R97" s="56">
        <v>759341</v>
      </c>
      <c r="S97" s="113">
        <f>R97*$T$126</f>
        <v>183741597.50083897</v>
      </c>
      <c r="T97" s="169" t="s">
        <v>4470</v>
      </c>
      <c r="U97" s="169">
        <f>$Q$95*$T$95*S97/$R$120</f>
        <v>503.20408320145896</v>
      </c>
      <c r="V97" s="95">
        <f>S97+U97</f>
        <v>183742100.70492217</v>
      </c>
      <c r="W97" s="99">
        <f>R97*100/U123</f>
        <v>67.09387776019453</v>
      </c>
      <c r="X97" s="163"/>
      <c r="Y97" t="s">
        <v>25</v>
      </c>
      <c r="AH97" s="99">
        <v>77</v>
      </c>
      <c r="AI97" s="113" t="s">
        <v>4529</v>
      </c>
      <c r="AJ97" s="113">
        <v>1900000</v>
      </c>
      <c r="AK97" s="99">
        <v>3</v>
      </c>
      <c r="AL97" s="99">
        <f t="shared" si="22"/>
        <v>23</v>
      </c>
      <c r="AM97" s="117">
        <f t="shared" si="9"/>
        <v>43700000</v>
      </c>
      <c r="AN97" s="99"/>
    </row>
    <row r="98" spans="4:47">
      <c r="D98" s="2"/>
      <c r="E98" s="3"/>
      <c r="H98" s="96"/>
      <c r="K98" s="169" t="s">
        <v>4565</v>
      </c>
      <c r="L98" s="169" t="s">
        <v>4566</v>
      </c>
      <c r="M98" s="169" t="s">
        <v>4443</v>
      </c>
      <c r="N98" s="56" t="s">
        <v>190</v>
      </c>
      <c r="Q98" s="169" t="s">
        <v>4460</v>
      </c>
      <c r="R98" s="56">
        <v>327026</v>
      </c>
      <c r="S98" s="113">
        <f>R98*$T$126</f>
        <v>79132141.770705596</v>
      </c>
      <c r="T98" s="169" t="s">
        <v>4470</v>
      </c>
      <c r="U98" s="169">
        <f>$Q$95*$T$95*S98/$R$120+Q95*R95</f>
        <v>466.71530776428551</v>
      </c>
      <c r="V98" s="95">
        <f>S98+U98</f>
        <v>79132608.486013353</v>
      </c>
      <c r="W98" s="99">
        <f>R98*100/U123</f>
        <v>28.8953743685714</v>
      </c>
      <c r="X98" s="115"/>
      <c r="AH98" s="99">
        <v>78</v>
      </c>
      <c r="AI98" s="113" t="s">
        <v>4548</v>
      </c>
      <c r="AJ98" s="113">
        <v>6400000</v>
      </c>
      <c r="AK98" s="99">
        <v>1</v>
      </c>
      <c r="AL98" s="99">
        <f t="shared" si="22"/>
        <v>20</v>
      </c>
      <c r="AM98" s="117">
        <f t="shared" si="9"/>
        <v>128000000</v>
      </c>
      <c r="AN98" s="99"/>
    </row>
    <row r="99" spans="4:47">
      <c r="D99" s="2"/>
      <c r="E99" s="3"/>
      <c r="K99" s="169" t="s">
        <v>4244</v>
      </c>
      <c r="L99" s="170">
        <v>1100000</v>
      </c>
      <c r="M99" s="170">
        <v>1637000</v>
      </c>
      <c r="N99" s="169">
        <f>(M99-L99)*100/L99</f>
        <v>48.81818181818182</v>
      </c>
      <c r="Q99" s="169" t="s">
        <v>4459</v>
      </c>
      <c r="R99" s="56">
        <v>45392</v>
      </c>
      <c r="S99" s="113">
        <f>R99*$T$126</f>
        <v>10983732.728455439</v>
      </c>
      <c r="T99" s="169" t="s">
        <v>4470</v>
      </c>
      <c r="U99" s="169">
        <f>$Q$95*$T$95*S99/$R$120</f>
        <v>30.080609034255524</v>
      </c>
      <c r="V99" s="95">
        <f>S99+U99</f>
        <v>10983762.809064474</v>
      </c>
      <c r="W99" s="99">
        <f>R99*100/U123</f>
        <v>4.0107478712340701</v>
      </c>
      <c r="X99" s="115"/>
      <c r="AH99" s="99">
        <v>79</v>
      </c>
      <c r="AI99" s="113" t="s">
        <v>4545</v>
      </c>
      <c r="AJ99" s="113">
        <v>5000</v>
      </c>
      <c r="AK99" s="99">
        <v>5</v>
      </c>
      <c r="AL99" s="99">
        <f t="shared" si="22"/>
        <v>19</v>
      </c>
      <c r="AM99" s="117">
        <f t="shared" si="9"/>
        <v>95000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5" t="s">
        <v>4560</v>
      </c>
      <c r="L100" s="170">
        <v>1100000</v>
      </c>
      <c r="M100" s="170">
        <v>4748000</v>
      </c>
      <c r="N100" s="169">
        <f t="shared" ref="N100:N107" si="23">(M100-L100)*100/L100</f>
        <v>331.63636363636363</v>
      </c>
      <c r="Q100" s="169"/>
      <c r="R100" s="56"/>
      <c r="S100" s="169"/>
      <c r="T100" s="169"/>
      <c r="U100" s="169"/>
      <c r="V100" s="99"/>
      <c r="W100" s="99"/>
      <c r="X100" s="115"/>
      <c r="Y100" t="s">
        <v>25</v>
      </c>
      <c r="AB100" s="96"/>
      <c r="AC100" s="96"/>
      <c r="AH100" s="99">
        <v>80</v>
      </c>
      <c r="AI100" s="113" t="s">
        <v>4580</v>
      </c>
      <c r="AJ100" s="113">
        <v>-1750148</v>
      </c>
      <c r="AK100" s="99">
        <v>1</v>
      </c>
      <c r="AL100" s="99">
        <f t="shared" si="22"/>
        <v>14</v>
      </c>
      <c r="AM100" s="117">
        <f t="shared" si="9"/>
        <v>-24502072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4561</v>
      </c>
      <c r="L101" s="170">
        <v>1100000</v>
      </c>
      <c r="M101" s="170">
        <v>5137000</v>
      </c>
      <c r="N101" s="169">
        <f t="shared" si="23"/>
        <v>367</v>
      </c>
      <c r="Q101" s="169"/>
      <c r="R101" s="56"/>
      <c r="S101" s="169"/>
      <c r="T101" s="169"/>
      <c r="U101" s="169"/>
      <c r="V101" s="169"/>
      <c r="W101" s="99"/>
      <c r="X101" s="96"/>
      <c r="AB101" s="96"/>
      <c r="AC101" s="96"/>
      <c r="AH101" s="99">
        <v>81</v>
      </c>
      <c r="AI101" s="113" t="s">
        <v>4587</v>
      </c>
      <c r="AJ101" s="113">
        <v>400000</v>
      </c>
      <c r="AK101" s="99">
        <v>0</v>
      </c>
      <c r="AL101" s="99">
        <f t="shared" si="22"/>
        <v>13</v>
      </c>
      <c r="AM101" s="117">
        <f t="shared" si="9"/>
        <v>5200000</v>
      </c>
      <c r="AN101" s="99"/>
    </row>
    <row r="102" spans="4:47">
      <c r="K102" s="19" t="s">
        <v>4397</v>
      </c>
      <c r="L102" s="170">
        <v>1100000</v>
      </c>
      <c r="M102" s="170">
        <v>4300000</v>
      </c>
      <c r="N102" s="169">
        <f t="shared" si="23"/>
        <v>290.90909090909093</v>
      </c>
      <c r="Q102" s="169"/>
      <c r="R102" s="169"/>
      <c r="S102" s="169"/>
      <c r="T102" s="169"/>
      <c r="U102" s="169"/>
      <c r="V102" s="169"/>
      <c r="W102" s="99"/>
      <c r="X102" s="96"/>
      <c r="AB102" s="96"/>
      <c r="AC102" s="96"/>
      <c r="AH102" s="99">
        <v>82</v>
      </c>
      <c r="AI102" s="113" t="s">
        <v>4587</v>
      </c>
      <c r="AJ102" s="113">
        <v>-2105421</v>
      </c>
      <c r="AK102" s="99">
        <v>1</v>
      </c>
      <c r="AL102" s="99">
        <f t="shared" si="22"/>
        <v>13</v>
      </c>
      <c r="AM102" s="117">
        <f t="shared" si="9"/>
        <v>-27370473</v>
      </c>
      <c r="AN102" s="99"/>
      <c r="AO102" t="s">
        <v>25</v>
      </c>
    </row>
    <row r="103" spans="4:47">
      <c r="K103" s="5" t="s">
        <v>4416</v>
      </c>
      <c r="L103" s="170">
        <v>1100000</v>
      </c>
      <c r="M103" s="170">
        <v>3191000</v>
      </c>
      <c r="N103" s="169">
        <f t="shared" si="23"/>
        <v>190.09090909090909</v>
      </c>
      <c r="Q103" s="99"/>
      <c r="R103" s="99"/>
      <c r="S103" s="99"/>
      <c r="T103" s="99" t="s">
        <v>25</v>
      </c>
      <c r="U103" s="99"/>
      <c r="V103" s="99"/>
      <c r="W103" s="99"/>
      <c r="X103" s="96"/>
      <c r="AB103" s="96"/>
      <c r="AC103" s="96"/>
      <c r="AH103" s="99">
        <v>83</v>
      </c>
      <c r="AI103" s="113" t="s">
        <v>4592</v>
      </c>
      <c r="AJ103" s="113">
        <v>-5527618</v>
      </c>
      <c r="AK103" s="99">
        <v>0</v>
      </c>
      <c r="AL103" s="99">
        <f t="shared" si="22"/>
        <v>12</v>
      </c>
      <c r="AM103" s="117">
        <f t="shared" si="9"/>
        <v>-66331416</v>
      </c>
      <c r="AN103" s="99"/>
    </row>
    <row r="104" spans="4:47">
      <c r="K104" s="5" t="s">
        <v>4562</v>
      </c>
      <c r="L104" s="170">
        <v>1100000</v>
      </c>
      <c r="M104" s="170">
        <v>5623000</v>
      </c>
      <c r="N104" s="169">
        <f t="shared" si="23"/>
        <v>411.18181818181819</v>
      </c>
      <c r="Q104" s="99"/>
      <c r="R104" s="99"/>
      <c r="S104" s="99"/>
      <c r="T104" s="99"/>
      <c r="U104" s="99"/>
      <c r="V104" s="99"/>
      <c r="W104" s="99"/>
      <c r="X104" s="96"/>
      <c r="AB104" s="96"/>
      <c r="AC104" s="96"/>
      <c r="AH104" s="99">
        <v>84</v>
      </c>
      <c r="AI104" s="113" t="s">
        <v>4592</v>
      </c>
      <c r="AJ104" s="113">
        <v>3900000</v>
      </c>
      <c r="AK104" s="99">
        <v>3</v>
      </c>
      <c r="AL104" s="99">
        <f t="shared" si="22"/>
        <v>12</v>
      </c>
      <c r="AM104" s="117">
        <f t="shared" si="9"/>
        <v>46800000</v>
      </c>
      <c r="AN104" s="99"/>
    </row>
    <row r="105" spans="4:47">
      <c r="K105" s="19" t="s">
        <v>4401</v>
      </c>
      <c r="L105" s="170">
        <v>1100000</v>
      </c>
      <c r="M105" s="170">
        <v>7728000</v>
      </c>
      <c r="N105" s="169">
        <f t="shared" si="23"/>
        <v>602.5454545454545</v>
      </c>
      <c r="Q105" s="99"/>
      <c r="R105" s="99"/>
      <c r="S105" s="99"/>
      <c r="T105" s="99"/>
      <c r="U105" s="99"/>
      <c r="V105" s="99"/>
      <c r="W105" s="99"/>
      <c r="X105" s="96"/>
      <c r="AB105" s="96"/>
      <c r="AC105" s="96"/>
      <c r="AH105" s="99">
        <v>85</v>
      </c>
      <c r="AI105" s="113" t="s">
        <v>4594</v>
      </c>
      <c r="AJ105" s="113">
        <v>-3969754</v>
      </c>
      <c r="AK105" s="99">
        <v>1</v>
      </c>
      <c r="AL105" s="99">
        <f t="shared" si="22"/>
        <v>9</v>
      </c>
      <c r="AM105" s="117">
        <f t="shared" si="9"/>
        <v>-35727786</v>
      </c>
      <c r="AN105" s="99"/>
    </row>
    <row r="106" spans="4:47">
      <c r="K106" s="5" t="s">
        <v>4564</v>
      </c>
      <c r="L106" s="170">
        <v>1100000</v>
      </c>
      <c r="M106" s="170">
        <v>2904000</v>
      </c>
      <c r="N106" s="169">
        <f t="shared" si="23"/>
        <v>164</v>
      </c>
      <c r="Q106" s="96"/>
      <c r="R106" s="96"/>
      <c r="S106" s="96"/>
      <c r="T106" s="96"/>
      <c r="V106" s="96"/>
      <c r="X106" s="115"/>
      <c r="AB106" s="96"/>
      <c r="AC106" s="96"/>
      <c r="AH106" s="99">
        <v>86</v>
      </c>
      <c r="AI106" s="113" t="s">
        <v>4608</v>
      </c>
      <c r="AJ106" s="113">
        <v>-25574455</v>
      </c>
      <c r="AK106" s="99">
        <v>0</v>
      </c>
      <c r="AL106" s="99">
        <f t="shared" si="22"/>
        <v>8</v>
      </c>
      <c r="AM106" s="117">
        <f t="shared" si="9"/>
        <v>-204595640</v>
      </c>
      <c r="AN106" s="99"/>
      <c r="AP106" t="s">
        <v>25</v>
      </c>
    </row>
    <row r="107" spans="4:47">
      <c r="K107" s="56" t="s">
        <v>1086</v>
      </c>
      <c r="L107" s="170">
        <v>1100000</v>
      </c>
      <c r="M107" s="170">
        <v>3400000</v>
      </c>
      <c r="N107" s="169">
        <f t="shared" si="23"/>
        <v>209.09090909090909</v>
      </c>
      <c r="Q107" s="96"/>
      <c r="R107" s="96"/>
      <c r="S107" s="96"/>
      <c r="T107" s="96"/>
      <c r="V107" s="96"/>
      <c r="AB107" s="96"/>
      <c r="AC107" s="96"/>
      <c r="AH107" s="99">
        <v>87</v>
      </c>
      <c r="AI107" s="113" t="s">
        <v>4608</v>
      </c>
      <c r="AJ107" s="113">
        <v>4000000</v>
      </c>
      <c r="AK107" s="99">
        <v>1</v>
      </c>
      <c r="AL107" s="99">
        <f t="shared" si="22"/>
        <v>8</v>
      </c>
      <c r="AM107" s="117">
        <f t="shared" si="9"/>
        <v>32000000</v>
      </c>
      <c r="AN107" s="99"/>
    </row>
    <row r="108" spans="4:47">
      <c r="K108" s="210" t="s">
        <v>4603</v>
      </c>
      <c r="Q108" s="96"/>
      <c r="R108" s="96"/>
      <c r="S108" s="96"/>
      <c r="T108" s="96" t="s">
        <v>25</v>
      </c>
      <c r="V108" s="96"/>
      <c r="AB108" s="96"/>
      <c r="AC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7</v>
      </c>
      <c r="AM108" s="117">
        <f t="shared" si="9"/>
        <v>-35000000</v>
      </c>
      <c r="AN108" s="99"/>
    </row>
    <row r="109" spans="4:47">
      <c r="K109" s="210" t="s">
        <v>4604</v>
      </c>
      <c r="Q109" s="96"/>
      <c r="R109" s="96"/>
      <c r="S109" s="96"/>
      <c r="T109" s="96"/>
      <c r="V109" s="96"/>
      <c r="AC109" s="96"/>
      <c r="AD109" s="96"/>
      <c r="AE109"/>
      <c r="AF109"/>
      <c r="AH109" s="99">
        <v>89</v>
      </c>
      <c r="AI109" s="113" t="s">
        <v>4628</v>
      </c>
      <c r="AJ109" s="113">
        <v>10000000</v>
      </c>
      <c r="AK109" s="99">
        <v>4</v>
      </c>
      <c r="AL109" s="99">
        <f t="shared" si="22"/>
        <v>5</v>
      </c>
      <c r="AM109" s="117">
        <f t="shared" si="9"/>
        <v>50000000</v>
      </c>
      <c r="AN109" s="99"/>
    </row>
    <row r="110" spans="4:47">
      <c r="K110" s="210" t="s">
        <v>4605</v>
      </c>
      <c r="Q110" s="96"/>
      <c r="R110" s="96"/>
      <c r="S110" s="96"/>
      <c r="T110" s="99" t="s">
        <v>180</v>
      </c>
      <c r="U110" s="99" t="s">
        <v>4495</v>
      </c>
      <c r="V110" s="99" t="s">
        <v>4496</v>
      </c>
      <c r="W110" s="99" t="s">
        <v>4507</v>
      </c>
      <c r="X110" s="99" t="s">
        <v>8</v>
      </c>
      <c r="AH110" s="99">
        <v>90</v>
      </c>
      <c r="AI110" s="113" t="s">
        <v>4637</v>
      </c>
      <c r="AJ110" s="113">
        <v>-5241937</v>
      </c>
      <c r="AK110" s="99">
        <v>1</v>
      </c>
      <c r="AL110" s="99">
        <f t="shared" si="22"/>
        <v>1</v>
      </c>
      <c r="AM110" s="117">
        <f t="shared" si="9"/>
        <v>-5241937</v>
      </c>
      <c r="AN110" s="99"/>
    </row>
    <row r="111" spans="4:47">
      <c r="Q111" s="36" t="s">
        <v>4606</v>
      </c>
      <c r="R111" s="95">
        <f>SUM(N39:N48)</f>
        <v>210111089</v>
      </c>
      <c r="T111" s="113" t="s">
        <v>4470</v>
      </c>
      <c r="U111" s="56">
        <v>1000000</v>
      </c>
      <c r="V111" s="113">
        <v>239.024</v>
      </c>
      <c r="W111" s="113">
        <f>U111*V111</f>
        <v>239024000</v>
      </c>
      <c r="X111" s="99"/>
      <c r="AH111" s="99"/>
      <c r="AI111" s="113"/>
      <c r="AJ111" s="113"/>
      <c r="AK111" s="99"/>
      <c r="AL111" s="99">
        <f t="shared" si="22"/>
        <v>0</v>
      </c>
      <c r="AM111" s="117">
        <f t="shared" si="9"/>
        <v>0</v>
      </c>
      <c r="AN111" s="99"/>
      <c r="AP111" t="s">
        <v>25</v>
      </c>
      <c r="AR111" s="96"/>
      <c r="AS111" s="96"/>
      <c r="AT111"/>
      <c r="AU111"/>
    </row>
    <row r="112" spans="4:47">
      <c r="Q112" s="99" t="s">
        <v>4461</v>
      </c>
      <c r="R112" s="95">
        <f>SUM(N21:N23)</f>
        <v>24156386.599999998</v>
      </c>
      <c r="T112" s="169" t="s">
        <v>4451</v>
      </c>
      <c r="U112" s="56">
        <v>5904</v>
      </c>
      <c r="V112" s="113">
        <v>237.148</v>
      </c>
      <c r="W112" s="113">
        <f t="shared" ref="W112:W122" si="24">U112*V112</f>
        <v>1400121.7919999999</v>
      </c>
      <c r="X112" s="99" t="s">
        <v>751</v>
      </c>
      <c r="AH112" s="99"/>
      <c r="AI112" s="113"/>
      <c r="AJ112" s="113"/>
      <c r="AK112" s="99"/>
      <c r="AL112" s="99">
        <f t="shared" si="22"/>
        <v>0</v>
      </c>
      <c r="AM112" s="117">
        <f t="shared" si="9"/>
        <v>0</v>
      </c>
      <c r="AN112" s="99"/>
      <c r="AO112" t="s">
        <v>25</v>
      </c>
    </row>
    <row r="113" spans="17:43">
      <c r="Q113" s="99" t="s">
        <v>4462</v>
      </c>
      <c r="R113" s="95">
        <f>SUM(N26:N26)</f>
        <v>2807204.4</v>
      </c>
      <c r="T113" s="169" t="s">
        <v>4233</v>
      </c>
      <c r="U113" s="169">
        <v>1000</v>
      </c>
      <c r="V113" s="113">
        <v>247.393</v>
      </c>
      <c r="W113" s="113">
        <f t="shared" si="24"/>
        <v>247393</v>
      </c>
      <c r="X113" s="99" t="s">
        <v>751</v>
      </c>
      <c r="AH113" s="99"/>
      <c r="AI113" s="113"/>
      <c r="AJ113" s="113"/>
      <c r="AK113" s="99"/>
      <c r="AL113" s="99">
        <f t="shared" si="22"/>
        <v>0</v>
      </c>
      <c r="AM113" s="117">
        <f t="shared" si="9"/>
        <v>0</v>
      </c>
      <c r="AN113" s="99"/>
    </row>
    <row r="114" spans="17:43">
      <c r="Q114" s="99" t="s">
        <v>4463</v>
      </c>
      <c r="R114" s="95">
        <f>N37</f>
        <v>2814339</v>
      </c>
      <c r="T114" s="169" t="s">
        <v>4509</v>
      </c>
      <c r="U114" s="169">
        <v>8071</v>
      </c>
      <c r="V114" s="113">
        <v>247.797</v>
      </c>
      <c r="W114" s="113">
        <f t="shared" si="24"/>
        <v>1999969.5870000001</v>
      </c>
      <c r="X114" s="99" t="s">
        <v>4459</v>
      </c>
      <c r="AH114" s="99" t="s">
        <v>25</v>
      </c>
      <c r="AI114" s="113"/>
      <c r="AJ114" s="113"/>
      <c r="AK114" s="99"/>
      <c r="AL114" s="99">
        <f t="shared" si="22"/>
        <v>0</v>
      </c>
      <c r="AM114" s="117">
        <f t="shared" si="9"/>
        <v>0</v>
      </c>
      <c r="AN114" s="99"/>
    </row>
    <row r="115" spans="17:43">
      <c r="Q115" s="99" t="s">
        <v>4464</v>
      </c>
      <c r="R115" s="95">
        <f>N20</f>
        <v>50976</v>
      </c>
      <c r="T115" s="169" t="s">
        <v>4509</v>
      </c>
      <c r="U115" s="169">
        <v>53672</v>
      </c>
      <c r="V115" s="113">
        <v>247.797</v>
      </c>
      <c r="W115" s="113">
        <f t="shared" si="24"/>
        <v>13299760.584000001</v>
      </c>
      <c r="X115" s="99" t="s">
        <v>452</v>
      </c>
      <c r="AH115" s="99"/>
      <c r="AI115" s="113"/>
      <c r="AJ115" s="113"/>
      <c r="AK115" s="99"/>
      <c r="AL115" s="99">
        <f t="shared" si="22"/>
        <v>0</v>
      </c>
      <c r="AM115" s="117">
        <f t="shared" si="9"/>
        <v>0</v>
      </c>
      <c r="AN115" s="99"/>
    </row>
    <row r="116" spans="17:43">
      <c r="Q116" s="99" t="s">
        <v>4465</v>
      </c>
      <c r="R116" s="95">
        <f>N25</f>
        <v>51621</v>
      </c>
      <c r="T116" s="169" t="s">
        <v>4519</v>
      </c>
      <c r="U116" s="169">
        <v>4099</v>
      </c>
      <c r="V116" s="113">
        <v>243.93</v>
      </c>
      <c r="W116" s="113">
        <f t="shared" si="24"/>
        <v>999869.07000000007</v>
      </c>
      <c r="X116" s="99" t="s">
        <v>4459</v>
      </c>
      <c r="AH116" s="99"/>
      <c r="AI116" s="99"/>
      <c r="AJ116" s="95">
        <f>SUM(AJ20:AJ115)</f>
        <v>202719767</v>
      </c>
      <c r="AK116" s="99"/>
      <c r="AL116" s="99"/>
      <c r="AM116" s="95">
        <f>SUM(AM20:AM115)</f>
        <v>30081048713</v>
      </c>
      <c r="AN116" s="95">
        <f>AM116*AN119/31</f>
        <v>19407128.201935485</v>
      </c>
    </row>
    <row r="117" spans="17:43">
      <c r="Q117" s="99" t="s">
        <v>4477</v>
      </c>
      <c r="R117" s="95">
        <v>24852092</v>
      </c>
      <c r="T117" s="169" t="s">
        <v>4519</v>
      </c>
      <c r="U117" s="169">
        <v>9301</v>
      </c>
      <c r="V117" s="113">
        <v>243.93</v>
      </c>
      <c r="W117" s="113">
        <f t="shared" si="24"/>
        <v>2268792.9300000002</v>
      </c>
      <c r="X117" s="99" t="s">
        <v>452</v>
      </c>
      <c r="AH117" s="99"/>
      <c r="AI117" s="99"/>
      <c r="AJ117" s="99" t="s">
        <v>4060</v>
      </c>
      <c r="AK117" s="99"/>
      <c r="AL117" s="99"/>
      <c r="AM117" s="99" t="s">
        <v>284</v>
      </c>
      <c r="AN117" s="99" t="s">
        <v>943</v>
      </c>
    </row>
    <row r="118" spans="17:43">
      <c r="Q118" s="99" t="s">
        <v>4593</v>
      </c>
      <c r="R118" s="95">
        <v>9013764</v>
      </c>
      <c r="T118" s="169" t="s">
        <v>4528</v>
      </c>
      <c r="U118" s="169">
        <v>8334</v>
      </c>
      <c r="V118" s="113">
        <v>239.97</v>
      </c>
      <c r="W118" s="113">
        <f t="shared" si="24"/>
        <v>1999909.98</v>
      </c>
      <c r="X118" s="99" t="s">
        <v>4459</v>
      </c>
      <c r="AH118" s="99"/>
      <c r="AI118" s="99"/>
      <c r="AJ118" s="99"/>
      <c r="AK118" s="99"/>
      <c r="AL118" s="99"/>
      <c r="AM118" s="99"/>
      <c r="AN118" s="99"/>
    </row>
    <row r="119" spans="17:43">
      <c r="Q119" s="99"/>
      <c r="R119" s="95">
        <v>0</v>
      </c>
      <c r="T119" s="169" t="s">
        <v>4232</v>
      </c>
      <c r="U119" s="169">
        <v>29041</v>
      </c>
      <c r="V119" s="113">
        <v>233.45</v>
      </c>
      <c r="W119" s="113">
        <f t="shared" si="24"/>
        <v>6779621.4499999993</v>
      </c>
      <c r="X119" s="99" t="s">
        <v>751</v>
      </c>
      <c r="AH119" s="99"/>
      <c r="AI119" s="99"/>
      <c r="AJ119" s="99"/>
      <c r="AK119" s="99"/>
      <c r="AL119" s="99"/>
      <c r="AM119" s="99" t="s">
        <v>4061</v>
      </c>
      <c r="AN119" s="99">
        <v>0.02</v>
      </c>
    </row>
    <row r="120" spans="17:43">
      <c r="Q120" s="99" t="s">
        <v>4469</v>
      </c>
      <c r="R120" s="95">
        <f>SUM(R111:R119)</f>
        <v>273857472</v>
      </c>
      <c r="S120" s="115"/>
      <c r="T120" s="169" t="s">
        <v>994</v>
      </c>
      <c r="U120" s="169">
        <v>12337</v>
      </c>
      <c r="V120" s="113">
        <v>243.16300000000001</v>
      </c>
      <c r="W120" s="113">
        <f t="shared" si="24"/>
        <v>2999901.9310000003</v>
      </c>
      <c r="X120" s="99" t="s">
        <v>4459</v>
      </c>
      <c r="AH120" s="99"/>
      <c r="AI120" s="99"/>
      <c r="AJ120" s="99"/>
      <c r="AK120" s="99"/>
      <c r="AL120" s="99"/>
      <c r="AM120" s="99"/>
      <c r="AN120" s="99"/>
      <c r="AO120" t="s">
        <v>25</v>
      </c>
    </row>
    <row r="121" spans="17:43">
      <c r="Q121" s="96"/>
      <c r="S121" s="122"/>
      <c r="T121" s="169"/>
      <c r="U121" s="169"/>
      <c r="V121" s="113"/>
      <c r="W121" s="113"/>
      <c r="X121" s="99"/>
      <c r="AH121" s="99"/>
      <c r="AI121" s="99" t="s">
        <v>4062</v>
      </c>
      <c r="AJ121" s="95">
        <f>AJ116+AN116</f>
        <v>222126895.20193547</v>
      </c>
      <c r="AK121" s="99"/>
      <c r="AL121" s="99"/>
      <c r="AM121" s="99"/>
      <c r="AN121" s="99"/>
      <c r="AP121" t="s">
        <v>25</v>
      </c>
    </row>
    <row r="122" spans="17:43">
      <c r="Q122" s="96"/>
      <c r="R122" s="184"/>
      <c r="S122" s="115"/>
      <c r="T122" s="169"/>
      <c r="U122" s="169"/>
      <c r="V122" s="113"/>
      <c r="W122" s="113">
        <f t="shared" si="24"/>
        <v>0</v>
      </c>
      <c r="X122" s="99"/>
      <c r="AI122" t="s">
        <v>4065</v>
      </c>
      <c r="AJ122" s="114">
        <f>SUM(N37:N48)</f>
        <v>212925428</v>
      </c>
      <c r="AQ122" t="s">
        <v>25</v>
      </c>
    </row>
    <row r="123" spans="17:43">
      <c r="Q123" s="96"/>
      <c r="R123" s="184"/>
      <c r="S123" s="115"/>
      <c r="T123" s="169"/>
      <c r="U123" s="169">
        <f>SUM(U111:U122)</f>
        <v>1131759</v>
      </c>
      <c r="V123" s="99"/>
      <c r="W123" s="99"/>
      <c r="X123" s="99"/>
      <c r="AI123" t="s">
        <v>4137</v>
      </c>
      <c r="AJ123" s="114">
        <f>AJ122-AJ116</f>
        <v>10205661</v>
      </c>
      <c r="AM123" t="s">
        <v>25</v>
      </c>
    </row>
    <row r="124" spans="17:43">
      <c r="Q124" s="96"/>
      <c r="R124" s="115"/>
      <c r="T124" s="99"/>
      <c r="U124" s="99" t="s">
        <v>6</v>
      </c>
      <c r="V124" s="99"/>
      <c r="W124" s="99"/>
      <c r="X124" s="99"/>
      <c r="Y124" t="s">
        <v>25</v>
      </c>
      <c r="AI124" t="s">
        <v>943</v>
      </c>
      <c r="AJ124" s="114">
        <f>AN116</f>
        <v>19407128.201935485</v>
      </c>
    </row>
    <row r="125" spans="17:43">
      <c r="T125" s="204" t="s">
        <v>4497</v>
      </c>
      <c r="AI125" t="s">
        <v>4066</v>
      </c>
      <c r="AJ125" s="114">
        <f>AJ122-AJ121</f>
        <v>-9201467.2019354701</v>
      </c>
    </row>
    <row r="126" spans="17:43">
      <c r="Q126" s="99" t="s">
        <v>4459</v>
      </c>
      <c r="R126" s="99"/>
      <c r="T126" s="203">
        <f>R120/U123</f>
        <v>241.97507773298025</v>
      </c>
      <c r="AM126" t="s">
        <v>25</v>
      </c>
    </row>
    <row r="127" spans="17:43">
      <c r="Q127" s="36" t="s">
        <v>180</v>
      </c>
      <c r="R127" s="99" t="s">
        <v>267</v>
      </c>
      <c r="W127" s="114"/>
      <c r="AJ127" t="s">
        <v>25</v>
      </c>
    </row>
    <row r="128" spans="17:43">
      <c r="Q128" s="99" t="s">
        <v>4451</v>
      </c>
      <c r="R128" s="95">
        <v>3000000</v>
      </c>
      <c r="U128" s="96" t="s">
        <v>267</v>
      </c>
      <c r="V128" t="s">
        <v>4498</v>
      </c>
    </row>
    <row r="129" spans="17:40">
      <c r="Q129" s="99" t="s">
        <v>4509</v>
      </c>
      <c r="R129" s="95">
        <v>2000000</v>
      </c>
      <c r="U129" s="113">
        <v>3000000</v>
      </c>
      <c r="V129">
        <f>U129/T126</f>
        <v>12397.971014645165</v>
      </c>
      <c r="X129" t="s">
        <v>25</v>
      </c>
    </row>
    <row r="130" spans="17:40">
      <c r="Q130" s="99" t="s">
        <v>4519</v>
      </c>
      <c r="R130" s="95">
        <v>1000000</v>
      </c>
      <c r="X130" t="s">
        <v>25</v>
      </c>
    </row>
    <row r="131" spans="17:40">
      <c r="Q131" s="99" t="s">
        <v>4528</v>
      </c>
      <c r="R131" s="95">
        <v>2000000</v>
      </c>
    </row>
    <row r="132" spans="17:40">
      <c r="Q132" s="99" t="s">
        <v>994</v>
      </c>
      <c r="R132" s="95">
        <v>3000000</v>
      </c>
      <c r="AH132" s="99" t="s">
        <v>3642</v>
      </c>
      <c r="AI132" s="99" t="s">
        <v>180</v>
      </c>
      <c r="AJ132" s="99" t="s">
        <v>267</v>
      </c>
      <c r="AK132" s="99" t="s">
        <v>4059</v>
      </c>
      <c r="AL132" s="99" t="s">
        <v>4051</v>
      </c>
      <c r="AM132" s="99" t="s">
        <v>282</v>
      </c>
      <c r="AN132" s="99" t="s">
        <v>4294</v>
      </c>
    </row>
    <row r="133" spans="17:40">
      <c r="Q133" s="99"/>
      <c r="R133" s="95"/>
      <c r="AH133" s="99">
        <v>1</v>
      </c>
      <c r="AI133" s="99" t="s">
        <v>3950</v>
      </c>
      <c r="AJ133" s="117">
        <v>3555820</v>
      </c>
      <c r="AK133" s="99">
        <v>2</v>
      </c>
      <c r="AL133" s="99">
        <f>AK133+AL134</f>
        <v>157</v>
      </c>
      <c r="AM133" s="99">
        <f>AJ133*AL133</f>
        <v>558263740</v>
      </c>
      <c r="AN133" s="99" t="s">
        <v>4317</v>
      </c>
    </row>
    <row r="134" spans="17:40" ht="60">
      <c r="Q134" s="99"/>
      <c r="R134" s="95">
        <f>SUM(R128:R132)</f>
        <v>11000000</v>
      </c>
      <c r="T134" s="22" t="s">
        <v>4480</v>
      </c>
      <c r="AH134" s="99">
        <v>2</v>
      </c>
      <c r="AI134" s="99" t="s">
        <v>4025</v>
      </c>
      <c r="AJ134" s="117">
        <v>1720837</v>
      </c>
      <c r="AK134" s="99">
        <v>51</v>
      </c>
      <c r="AL134" s="99">
        <f t="shared" ref="AL134:AL158" si="25">AK134+AL135</f>
        <v>155</v>
      </c>
      <c r="AM134" s="99">
        <f t="shared" ref="AM134:AM158" si="26">AJ134*AL134</f>
        <v>266729735</v>
      </c>
      <c r="AN134" s="99" t="s">
        <v>4318</v>
      </c>
    </row>
    <row r="135" spans="17:40" ht="45">
      <c r="Q135" s="99"/>
      <c r="R135" s="99" t="s">
        <v>6</v>
      </c>
      <c r="T135" s="22" t="s">
        <v>4481</v>
      </c>
      <c r="AH135" s="99">
        <v>3</v>
      </c>
      <c r="AI135" s="99" t="s">
        <v>4131</v>
      </c>
      <c r="AJ135" s="117">
        <v>150000</v>
      </c>
      <c r="AK135" s="99">
        <v>3</v>
      </c>
      <c r="AL135" s="99">
        <f t="shared" si="25"/>
        <v>104</v>
      </c>
      <c r="AM135" s="99">
        <f t="shared" si="26"/>
        <v>15600000</v>
      </c>
      <c r="AN135" s="99"/>
    </row>
    <row r="136" spans="17:40">
      <c r="Y136" t="s">
        <v>25</v>
      </c>
      <c r="AH136" s="99">
        <v>4</v>
      </c>
      <c r="AI136" s="99" t="s">
        <v>4146</v>
      </c>
      <c r="AJ136" s="117">
        <v>-95000</v>
      </c>
      <c r="AK136" s="99">
        <v>8</v>
      </c>
      <c r="AL136" s="99">
        <f t="shared" si="25"/>
        <v>101</v>
      </c>
      <c r="AM136" s="99">
        <f t="shared" si="26"/>
        <v>-9595000</v>
      </c>
      <c r="AN136" s="99"/>
    </row>
    <row r="137" spans="17:40">
      <c r="Q137" s="96"/>
      <c r="R137" s="96"/>
      <c r="AH137" s="99">
        <v>5</v>
      </c>
      <c r="AI137" s="99" t="s">
        <v>4173</v>
      </c>
      <c r="AJ137" s="117">
        <v>3150000</v>
      </c>
      <c r="AK137" s="99">
        <v>16</v>
      </c>
      <c r="AL137" s="99">
        <f t="shared" si="25"/>
        <v>93</v>
      </c>
      <c r="AM137" s="99">
        <f t="shared" si="26"/>
        <v>292950000</v>
      </c>
      <c r="AN137" s="99"/>
    </row>
    <row r="138" spans="17:40">
      <c r="Q138" s="96"/>
      <c r="R138" s="96"/>
      <c r="T138" s="99" t="s">
        <v>4499</v>
      </c>
      <c r="U138" s="99" t="s">
        <v>4469</v>
      </c>
      <c r="V138" s="99" t="s">
        <v>953</v>
      </c>
      <c r="AH138" s="99">
        <v>6</v>
      </c>
      <c r="AI138" s="99" t="s">
        <v>4242</v>
      </c>
      <c r="AJ138" s="117">
        <v>-65000</v>
      </c>
      <c r="AK138" s="99">
        <v>1</v>
      </c>
      <c r="AL138" s="99">
        <f t="shared" si="25"/>
        <v>77</v>
      </c>
      <c r="AM138" s="99">
        <f t="shared" si="26"/>
        <v>-5005000</v>
      </c>
      <c r="AN138" s="99"/>
    </row>
    <row r="139" spans="17:40">
      <c r="T139" s="95">
        <f>R134+R147+R156</f>
        <v>271019393</v>
      </c>
      <c r="U139" s="95">
        <f>R120</f>
        <v>273857472</v>
      </c>
      <c r="V139" s="95">
        <f>U139-T139</f>
        <v>2838079</v>
      </c>
      <c r="AH139" s="99">
        <v>7</v>
      </c>
      <c r="AI139" s="99" t="s">
        <v>4319</v>
      </c>
      <c r="AJ139" s="117">
        <v>-95000</v>
      </c>
      <c r="AK139" s="99">
        <v>6</v>
      </c>
      <c r="AL139" s="99">
        <f t="shared" si="25"/>
        <v>76</v>
      </c>
      <c r="AM139" s="99">
        <f t="shared" si="26"/>
        <v>-7220000</v>
      </c>
      <c r="AN139" s="99"/>
    </row>
    <row r="140" spans="17:40">
      <c r="Q140" s="99" t="s">
        <v>751</v>
      </c>
      <c r="R140" s="99"/>
      <c r="AH140" s="99">
        <v>8</v>
      </c>
      <c r="AI140" s="99" t="s">
        <v>4320</v>
      </c>
      <c r="AJ140" s="117">
        <v>232000</v>
      </c>
      <c r="AK140" s="99">
        <v>7</v>
      </c>
      <c r="AL140" s="99">
        <f t="shared" si="25"/>
        <v>70</v>
      </c>
      <c r="AM140" s="99">
        <f t="shared" si="26"/>
        <v>16240000</v>
      </c>
      <c r="AN140" s="99"/>
    </row>
    <row r="141" spans="17:40">
      <c r="Q141" s="99" t="s">
        <v>4451</v>
      </c>
      <c r="R141" s="95">
        <v>172908000</v>
      </c>
      <c r="AH141" s="99">
        <v>9</v>
      </c>
      <c r="AI141" s="99" t="s">
        <v>4293</v>
      </c>
      <c r="AJ141" s="117">
        <v>13000000</v>
      </c>
      <c r="AK141" s="99">
        <v>2</v>
      </c>
      <c r="AL141" s="99">
        <f t="shared" si="25"/>
        <v>63</v>
      </c>
      <c r="AM141" s="99">
        <f t="shared" si="26"/>
        <v>819000000</v>
      </c>
      <c r="AN141" s="99"/>
    </row>
    <row r="142" spans="17:40">
      <c r="Q142" s="99" t="s">
        <v>4494</v>
      </c>
      <c r="R142" s="95">
        <v>1400000</v>
      </c>
      <c r="AH142" s="99">
        <v>10</v>
      </c>
      <c r="AI142" s="99" t="s">
        <v>4321</v>
      </c>
      <c r="AJ142" s="117">
        <v>10000000</v>
      </c>
      <c r="AK142" s="99">
        <v>3</v>
      </c>
      <c r="AL142" s="99">
        <f t="shared" si="25"/>
        <v>61</v>
      </c>
      <c r="AM142" s="99">
        <f t="shared" si="26"/>
        <v>610000000</v>
      </c>
      <c r="AN142" s="99"/>
    </row>
    <row r="143" spans="17:40">
      <c r="Q143" s="99" t="s">
        <v>4233</v>
      </c>
      <c r="R143" s="95">
        <v>247393</v>
      </c>
      <c r="AH143" s="99">
        <v>11</v>
      </c>
      <c r="AI143" s="99" t="s">
        <v>4306</v>
      </c>
      <c r="AJ143" s="117">
        <v>3400000</v>
      </c>
      <c r="AK143" s="99">
        <v>9</v>
      </c>
      <c r="AL143" s="99">
        <f t="shared" si="25"/>
        <v>58</v>
      </c>
      <c r="AM143" s="99">
        <f t="shared" si="26"/>
        <v>197200000</v>
      </c>
      <c r="AN143" s="99"/>
    </row>
    <row r="144" spans="17:40">
      <c r="Q144" s="99" t="s">
        <v>4232</v>
      </c>
      <c r="R144" s="95">
        <v>6780000</v>
      </c>
      <c r="AH144" s="99">
        <v>12</v>
      </c>
      <c r="AI144" s="99" t="s">
        <v>4353</v>
      </c>
      <c r="AJ144" s="117">
        <v>-8736514</v>
      </c>
      <c r="AK144" s="99">
        <v>1</v>
      </c>
      <c r="AL144" s="99">
        <f>AK144+AL145</f>
        <v>49</v>
      </c>
      <c r="AM144" s="99">
        <f t="shared" si="26"/>
        <v>-428089186</v>
      </c>
      <c r="AN144" s="99"/>
    </row>
    <row r="145" spans="17:44">
      <c r="Q145" s="99"/>
      <c r="R145" s="95"/>
      <c r="AH145" s="99">
        <v>13</v>
      </c>
      <c r="AI145" s="99" t="s">
        <v>4354</v>
      </c>
      <c r="AJ145" s="117">
        <v>555000</v>
      </c>
      <c r="AK145" s="99">
        <v>5</v>
      </c>
      <c r="AL145" s="99">
        <f t="shared" ref="AL145:AL157" si="27">AK145+AL146</f>
        <v>48</v>
      </c>
      <c r="AM145" s="99">
        <f t="shared" si="26"/>
        <v>26640000</v>
      </c>
      <c r="AN145" s="99"/>
    </row>
    <row r="146" spans="17:44">
      <c r="Q146" s="99"/>
      <c r="R146" s="95"/>
      <c r="AH146" s="99">
        <v>14</v>
      </c>
      <c r="AI146" s="99" t="s">
        <v>4378</v>
      </c>
      <c r="AJ146" s="117">
        <v>-448308</v>
      </c>
      <c r="AK146" s="99">
        <v>6</v>
      </c>
      <c r="AL146" s="99">
        <f t="shared" si="27"/>
        <v>43</v>
      </c>
      <c r="AM146" s="99">
        <f t="shared" si="26"/>
        <v>-19277244</v>
      </c>
      <c r="AN146" s="99"/>
      <c r="AR146" t="s">
        <v>25</v>
      </c>
    </row>
    <row r="147" spans="17:44">
      <c r="Q147" s="99"/>
      <c r="R147" s="95">
        <f>SUM(R141:R145)</f>
        <v>181335393</v>
      </c>
      <c r="AH147" s="99">
        <v>15</v>
      </c>
      <c r="AI147" s="99" t="s">
        <v>4410</v>
      </c>
      <c r="AJ147" s="117">
        <v>33225</v>
      </c>
      <c r="AK147" s="99">
        <v>0</v>
      </c>
      <c r="AL147" s="99">
        <f t="shared" si="27"/>
        <v>37</v>
      </c>
      <c r="AM147" s="99">
        <f t="shared" si="26"/>
        <v>1229325</v>
      </c>
      <c r="AN147" s="99"/>
    </row>
    <row r="148" spans="17:44">
      <c r="Q148" s="99"/>
      <c r="R148" s="99" t="s">
        <v>6</v>
      </c>
      <c r="AH148" s="149">
        <v>16</v>
      </c>
      <c r="AI148" s="149" t="s">
        <v>4410</v>
      </c>
      <c r="AJ148" s="191">
        <v>4098523</v>
      </c>
      <c r="AK148" s="149">
        <v>2</v>
      </c>
      <c r="AL148" s="149">
        <f t="shared" si="27"/>
        <v>37</v>
      </c>
      <c r="AM148" s="149">
        <f t="shared" si="26"/>
        <v>151645351</v>
      </c>
      <c r="AN148" s="149" t="s">
        <v>657</v>
      </c>
    </row>
    <row r="149" spans="17:44">
      <c r="AH149" s="149">
        <v>17</v>
      </c>
      <c r="AI149" s="149" t="s">
        <v>4424</v>
      </c>
      <c r="AJ149" s="191">
        <v>-1000000</v>
      </c>
      <c r="AK149" s="149">
        <v>7</v>
      </c>
      <c r="AL149" s="149">
        <f t="shared" si="27"/>
        <v>35</v>
      </c>
      <c r="AM149" s="149">
        <f t="shared" si="26"/>
        <v>-35000000</v>
      </c>
      <c r="AN149" s="149" t="s">
        <v>657</v>
      </c>
    </row>
    <row r="150" spans="17:44">
      <c r="AH150" s="149">
        <v>18</v>
      </c>
      <c r="AI150" s="149" t="s">
        <v>4447</v>
      </c>
      <c r="AJ150" s="191">
        <v>750000</v>
      </c>
      <c r="AK150" s="149">
        <v>1</v>
      </c>
      <c r="AL150" s="149">
        <f t="shared" si="27"/>
        <v>28</v>
      </c>
      <c r="AM150" s="149">
        <f t="shared" si="26"/>
        <v>21000000</v>
      </c>
      <c r="AN150" s="149" t="s">
        <v>657</v>
      </c>
    </row>
    <row r="151" spans="17:44">
      <c r="Q151" s="99" t="s">
        <v>452</v>
      </c>
      <c r="R151" s="99"/>
      <c r="AH151" s="199">
        <v>19</v>
      </c>
      <c r="AI151" s="199" t="s">
        <v>4449</v>
      </c>
      <c r="AJ151" s="200">
        <v>-604152</v>
      </c>
      <c r="AK151" s="199">
        <v>0</v>
      </c>
      <c r="AL151" s="199">
        <f t="shared" si="27"/>
        <v>27</v>
      </c>
      <c r="AM151" s="199">
        <f t="shared" si="26"/>
        <v>-16312104</v>
      </c>
      <c r="AN151" s="199" t="s">
        <v>657</v>
      </c>
    </row>
    <row r="152" spans="17:44">
      <c r="Q152" s="99" t="s">
        <v>4451</v>
      </c>
      <c r="R152" s="95">
        <v>63115000</v>
      </c>
      <c r="AH152" s="99">
        <v>20</v>
      </c>
      <c r="AI152" s="99" t="s">
        <v>4450</v>
      </c>
      <c r="AJ152" s="117">
        <v>-587083</v>
      </c>
      <c r="AK152" s="99">
        <v>4</v>
      </c>
      <c r="AL152" s="99">
        <f t="shared" si="27"/>
        <v>27</v>
      </c>
      <c r="AM152" s="99">
        <f t="shared" si="26"/>
        <v>-15851241</v>
      </c>
      <c r="AN152" s="99"/>
    </row>
    <row r="153" spans="17:44">
      <c r="Q153" s="99" t="s">
        <v>4509</v>
      </c>
      <c r="R153" s="95">
        <v>13300000</v>
      </c>
      <c r="AH153" s="199">
        <v>21</v>
      </c>
      <c r="AI153" s="199" t="s">
        <v>4451</v>
      </c>
      <c r="AJ153" s="200">
        <v>-754351</v>
      </c>
      <c r="AK153" s="199">
        <v>0</v>
      </c>
      <c r="AL153" s="99">
        <f t="shared" si="27"/>
        <v>23</v>
      </c>
      <c r="AM153" s="199">
        <f t="shared" si="26"/>
        <v>-17350073</v>
      </c>
      <c r="AN153" s="199" t="s">
        <v>657</v>
      </c>
    </row>
    <row r="154" spans="17:44">
      <c r="Q154" s="99" t="s">
        <v>4519</v>
      </c>
      <c r="R154" s="95">
        <v>2269000</v>
      </c>
      <c r="AH154" s="99">
        <v>22</v>
      </c>
      <c r="AI154" s="99" t="s">
        <v>4451</v>
      </c>
      <c r="AJ154" s="117">
        <v>-189619</v>
      </c>
      <c r="AK154" s="99">
        <v>15</v>
      </c>
      <c r="AL154" s="99">
        <f t="shared" si="27"/>
        <v>23</v>
      </c>
      <c r="AM154" s="99">
        <f t="shared" si="26"/>
        <v>-4361237</v>
      </c>
      <c r="AN154" s="99"/>
    </row>
    <row r="155" spans="17:44">
      <c r="Q155" s="99"/>
      <c r="R155" s="95"/>
      <c r="T155" t="s">
        <v>25</v>
      </c>
      <c r="AH155" s="199">
        <v>23</v>
      </c>
      <c r="AI155" s="199" t="s">
        <v>4533</v>
      </c>
      <c r="AJ155" s="199">
        <v>7100</v>
      </c>
      <c r="AK155" s="199">
        <v>0</v>
      </c>
      <c r="AL155" s="99">
        <f t="shared" si="27"/>
        <v>8</v>
      </c>
      <c r="AM155" s="199">
        <f t="shared" si="26"/>
        <v>56800</v>
      </c>
      <c r="AN155" s="199" t="s">
        <v>657</v>
      </c>
    </row>
    <row r="156" spans="17:44">
      <c r="Q156" s="99"/>
      <c r="R156" s="95">
        <f>SUM(R152:R154)</f>
        <v>78684000</v>
      </c>
      <c r="AH156" s="20">
        <v>24</v>
      </c>
      <c r="AI156" s="20" t="s">
        <v>4533</v>
      </c>
      <c r="AJ156" s="20">
        <v>-147902</v>
      </c>
      <c r="AK156" s="20">
        <v>3</v>
      </c>
      <c r="AL156" s="99">
        <f t="shared" si="27"/>
        <v>8</v>
      </c>
      <c r="AM156" s="199">
        <f t="shared" si="26"/>
        <v>-1183216</v>
      </c>
      <c r="AN156" s="20"/>
    </row>
    <row r="157" spans="17:44">
      <c r="Q157" s="99"/>
      <c r="R157" s="99" t="s">
        <v>6</v>
      </c>
      <c r="AH157" s="149">
        <v>25</v>
      </c>
      <c r="AI157" s="149" t="s">
        <v>4545</v>
      </c>
      <c r="AJ157" s="149">
        <v>-37200</v>
      </c>
      <c r="AK157" s="149">
        <v>4</v>
      </c>
      <c r="AL157" s="99">
        <f t="shared" si="27"/>
        <v>5</v>
      </c>
      <c r="AM157" s="199">
        <f t="shared" si="26"/>
        <v>-186000</v>
      </c>
      <c r="AN157" s="149" t="s">
        <v>657</v>
      </c>
    </row>
    <row r="158" spans="17:44">
      <c r="AH158" s="99">
        <v>26</v>
      </c>
      <c r="AI158" s="99" t="s">
        <v>4579</v>
      </c>
      <c r="AJ158" s="99">
        <v>-372326</v>
      </c>
      <c r="AK158" s="99">
        <v>1</v>
      </c>
      <c r="AL158" s="99">
        <f t="shared" si="25"/>
        <v>1</v>
      </c>
      <c r="AM158" s="99">
        <f t="shared" si="26"/>
        <v>-372326</v>
      </c>
      <c r="AN158" s="99"/>
    </row>
    <row r="159" spans="17:44">
      <c r="AH159" s="99"/>
      <c r="AI159" s="99"/>
      <c r="AJ159" s="99"/>
      <c r="AK159" s="99"/>
      <c r="AL159" s="99"/>
      <c r="AM159" s="99"/>
      <c r="AN159" s="99"/>
    </row>
    <row r="160" spans="17:44">
      <c r="AH160" s="99"/>
      <c r="AI160" s="99"/>
      <c r="AJ160" s="95">
        <f>SUM(AJ133:AJ159)</f>
        <v>27520050</v>
      </c>
      <c r="AK160" s="99"/>
      <c r="AL160" s="99"/>
      <c r="AM160" s="99">
        <f>SUM(AM133:AM159)</f>
        <v>2416752324</v>
      </c>
      <c r="AN160" s="95">
        <f>AM160*AN119/31</f>
        <v>1559195.0477419356</v>
      </c>
    </row>
    <row r="161" spans="35:40">
      <c r="AJ161" t="s">
        <v>4060</v>
      </c>
      <c r="AM161" t="s">
        <v>284</v>
      </c>
      <c r="AN161" t="s">
        <v>943</v>
      </c>
    </row>
    <row r="163" spans="35:40">
      <c r="AI163" t="s">
        <v>4062</v>
      </c>
      <c r="AJ163" s="114">
        <f>AJ160+AN160</f>
        <v>29079245.047741935</v>
      </c>
    </row>
    <row r="164" spans="35:40">
      <c r="AI164" t="s">
        <v>4065</v>
      </c>
      <c r="AJ164" s="114">
        <f>SUM(N20:N26)</f>
        <v>27066187.999999996</v>
      </c>
    </row>
    <row r="165" spans="35:40">
      <c r="AI165" t="s">
        <v>4137</v>
      </c>
      <c r="AJ165" s="114">
        <f>AJ164-AJ160</f>
        <v>-453862.00000000373</v>
      </c>
    </row>
    <row r="166" spans="35:40">
      <c r="AI166" t="s">
        <v>943</v>
      </c>
      <c r="AJ166" s="114">
        <f>AN160</f>
        <v>1559195.0477419356</v>
      </c>
    </row>
    <row r="167" spans="35:40">
      <c r="AI167" t="s">
        <v>4066</v>
      </c>
      <c r="AJ167" s="114">
        <f>AJ165-AJ166</f>
        <v>-2013057.0477419393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6 S28 P22 U98 S65 S78 S82:S83 S8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D10" sqref="D1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5.85546875" bestFit="1" customWidth="1"/>
    <col min="6" max="6" width="12.4257812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4496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1689</v>
      </c>
      <c r="C2" s="209" t="s">
        <v>4630</v>
      </c>
      <c r="D2" s="99" t="s">
        <v>4513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7">
        <v>3792000</v>
      </c>
      <c r="C3" s="170">
        <v>3992000</v>
      </c>
      <c r="D3" s="99" t="s">
        <v>4513</v>
      </c>
      <c r="J3" s="169">
        <v>2</v>
      </c>
      <c r="K3" s="169" t="s">
        <v>4509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 t="s">
        <v>4596</v>
      </c>
      <c r="B4" s="207">
        <v>1689</v>
      </c>
      <c r="C4" s="170"/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4562</v>
      </c>
      <c r="B5" s="207">
        <v>3340</v>
      </c>
      <c r="C5" s="170">
        <v>3517</v>
      </c>
      <c r="D5" s="99"/>
      <c r="J5" s="169"/>
      <c r="K5" s="169"/>
      <c r="L5" s="113"/>
      <c r="M5" s="169"/>
      <c r="N5" s="113"/>
      <c r="O5" s="99"/>
    </row>
    <row r="6" spans="1:15">
      <c r="A6" s="99" t="s">
        <v>4629</v>
      </c>
      <c r="B6" s="207">
        <v>1174</v>
      </c>
      <c r="C6" s="170"/>
      <c r="D6" s="99"/>
      <c r="G6" t="s">
        <v>25</v>
      </c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 t="s">
        <v>4416</v>
      </c>
      <c r="B7" s="207">
        <v>458</v>
      </c>
      <c r="C7" s="170">
        <v>495</v>
      </c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7"/>
      <c r="C8" s="170"/>
      <c r="D8" s="99"/>
      <c r="F8" s="114"/>
      <c r="M8" s="113">
        <f>N6/M6</f>
        <v>4053750</v>
      </c>
    </row>
    <row r="9" spans="1:15">
      <c r="A9" s="99" t="s">
        <v>4582</v>
      </c>
      <c r="B9" s="207">
        <v>578552</v>
      </c>
      <c r="C9" s="170"/>
      <c r="D9" s="59" t="s">
        <v>4636</v>
      </c>
      <c r="M9" s="41" t="s">
        <v>4547</v>
      </c>
      <c r="N9" t="s">
        <v>25</v>
      </c>
    </row>
    <row r="10" spans="1:15">
      <c r="A10" s="99"/>
      <c r="B10" s="207"/>
      <c r="C10" s="170"/>
      <c r="D10" s="99"/>
    </row>
    <row r="11" spans="1:15">
      <c r="A11" s="99"/>
      <c r="B11" s="207"/>
      <c r="C11" s="170"/>
      <c r="D11" s="99"/>
    </row>
    <row r="12" spans="1:15">
      <c r="A12" s="99"/>
      <c r="B12" s="207"/>
      <c r="C12" s="170"/>
      <c r="D12" s="99"/>
      <c r="L12">
        <f>140-M6-3</f>
        <v>121</v>
      </c>
      <c r="M12">
        <f>75-3-M2-M4</f>
        <v>60</v>
      </c>
    </row>
    <row r="13" spans="1:15">
      <c r="A13" s="99"/>
      <c r="B13" s="207"/>
      <c r="C13" s="170"/>
      <c r="D13" s="99"/>
      <c r="M13">
        <f>65-M3</f>
        <v>61</v>
      </c>
    </row>
    <row r="14" spans="1:15">
      <c r="A14" s="99"/>
    </row>
    <row r="15" spans="1:15">
      <c r="A15" s="99"/>
      <c r="B15" s="207">
        <v>3965000</v>
      </c>
      <c r="C15" s="170"/>
      <c r="D15" s="99" t="s">
        <v>4501</v>
      </c>
    </row>
    <row r="16" spans="1:15">
      <c r="A16" s="99"/>
      <c r="B16" s="207">
        <v>3880000</v>
      </c>
      <c r="C16" s="170"/>
      <c r="D16" s="99" t="s">
        <v>4508</v>
      </c>
    </row>
    <row r="17" spans="1:19">
      <c r="A17" s="99" t="s">
        <v>4514</v>
      </c>
      <c r="B17" s="208"/>
      <c r="C17" s="170">
        <v>3894000</v>
      </c>
      <c r="D17" s="99" t="s">
        <v>4509</v>
      </c>
      <c r="G17" s="169" t="s">
        <v>4546</v>
      </c>
      <c r="H17" s="169" t="s">
        <v>4297</v>
      </c>
      <c r="I17" s="169" t="s">
        <v>937</v>
      </c>
      <c r="J17" s="169" t="s">
        <v>4244</v>
      </c>
      <c r="K17" s="169" t="s">
        <v>4575</v>
      </c>
      <c r="L17" s="169"/>
      <c r="M17" s="41"/>
      <c r="N17" s="41"/>
      <c r="O17" s="169" t="s">
        <v>4558</v>
      </c>
      <c r="P17" s="169" t="s">
        <v>1086</v>
      </c>
      <c r="Q17" s="169" t="s">
        <v>4244</v>
      </c>
      <c r="R17" s="169" t="s">
        <v>4575</v>
      </c>
      <c r="S17" s="169"/>
    </row>
    <row r="18" spans="1:19">
      <c r="A18" s="99"/>
      <c r="B18" s="207"/>
      <c r="C18" s="170">
        <v>3845000</v>
      </c>
      <c r="D18" s="99" t="s">
        <v>4509</v>
      </c>
      <c r="G18" s="169" t="s">
        <v>4555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4620</v>
      </c>
      <c r="M18" s="41"/>
      <c r="N18" s="41"/>
      <c r="O18" s="169" t="s">
        <v>4545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/>
      <c r="C19" s="170">
        <v>3845000</v>
      </c>
      <c r="D19" s="99" t="s">
        <v>4509</v>
      </c>
      <c r="G19" s="169" t="s">
        <v>4554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4620</v>
      </c>
      <c r="M19" s="41"/>
      <c r="N19" s="41"/>
      <c r="O19" s="169"/>
      <c r="P19" s="169"/>
      <c r="Q19" s="169"/>
      <c r="R19" s="169"/>
      <c r="S19" s="169"/>
    </row>
    <row r="20" spans="1:19">
      <c r="A20" s="99"/>
      <c r="B20" s="207"/>
      <c r="C20" s="170">
        <v>3845000</v>
      </c>
      <c r="D20" s="99" t="s">
        <v>4509</v>
      </c>
      <c r="G20" s="169" t="s">
        <v>4556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4620</v>
      </c>
      <c r="M20" s="41"/>
      <c r="N20" s="41"/>
      <c r="O20" s="169"/>
      <c r="P20" s="169"/>
      <c r="Q20" s="169"/>
      <c r="R20" s="169"/>
      <c r="S20" s="169"/>
    </row>
    <row r="21" spans="1:19">
      <c r="A21" s="99" t="s">
        <v>4516</v>
      </c>
      <c r="B21" s="207">
        <v>4020000</v>
      </c>
      <c r="C21" s="170">
        <v>30000</v>
      </c>
      <c r="D21" s="99" t="s">
        <v>4513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4621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>
        <v>3915000</v>
      </c>
      <c r="C22" s="170"/>
      <c r="D22" s="99" t="s">
        <v>4515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>
        <v>3821000</v>
      </c>
      <c r="C23" s="170"/>
      <c r="D23" s="99" t="s">
        <v>4519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/>
      <c r="B24" s="207"/>
      <c r="C24" s="170"/>
      <c r="D24" s="99" t="s">
        <v>4529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 t="s">
        <v>4557</v>
      </c>
      <c r="B25" s="207"/>
      <c r="C25" s="170">
        <v>3421299</v>
      </c>
      <c r="D25" s="99" t="s">
        <v>4232</v>
      </c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 t="s">
        <v>4590</v>
      </c>
      <c r="B26" s="207"/>
      <c r="C26" s="170">
        <v>3490000</v>
      </c>
      <c r="D26" s="99" t="s">
        <v>4232</v>
      </c>
    </row>
    <row r="27" spans="1:19">
      <c r="A27" s="99" t="s">
        <v>4591</v>
      </c>
      <c r="B27" s="207"/>
      <c r="C27" s="170">
        <v>271000</v>
      </c>
      <c r="D27" s="99" t="s">
        <v>4587</v>
      </c>
    </row>
    <row r="28" spans="1:19">
      <c r="A28" s="99" t="s">
        <v>4601</v>
      </c>
      <c r="B28" s="207"/>
      <c r="C28" s="170">
        <v>69700</v>
      </c>
      <c r="D28" s="99" t="s">
        <v>4592</v>
      </c>
      <c r="I28" t="s">
        <v>25</v>
      </c>
      <c r="K28">
        <f>K20/K21</f>
        <v>1.0763394194208415</v>
      </c>
    </row>
    <row r="29" spans="1:19">
      <c r="A29" s="99"/>
      <c r="B29" s="207"/>
      <c r="C29" s="170"/>
      <c r="D29" s="99"/>
    </row>
    <row r="30" spans="1:19">
      <c r="A30" s="99"/>
      <c r="B30" s="207"/>
      <c r="C30" s="170"/>
      <c r="D30" s="99"/>
    </row>
    <row r="31" spans="1:19">
      <c r="A31" s="99"/>
      <c r="B31" s="207"/>
      <c r="C31" s="170"/>
      <c r="D31" s="99"/>
    </row>
    <row r="32" spans="1:19">
      <c r="A32" s="99"/>
      <c r="B32" s="170"/>
      <c r="C32" s="170"/>
      <c r="D32" s="99"/>
    </row>
    <row r="33" spans="2:13">
      <c r="B33" s="58"/>
      <c r="C33" s="58"/>
      <c r="D33" s="115"/>
    </row>
    <row r="34" spans="2:13">
      <c r="B34" t="s">
        <v>25</v>
      </c>
    </row>
    <row r="35" spans="2:13">
      <c r="B35" s="114">
        <f>SUM(C15:C32)-SUM(B15:B32)</f>
        <v>3109999</v>
      </c>
      <c r="C35" t="s">
        <v>916</v>
      </c>
    </row>
    <row r="38" spans="2:13">
      <c r="I38" s="41"/>
      <c r="J38" s="41"/>
      <c r="K38" s="41"/>
      <c r="L38" s="41"/>
      <c r="M38" s="41"/>
    </row>
    <row r="41" spans="2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25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2019-01-05T18:36:41Z</dcterms:modified>
</cp:coreProperties>
</file>