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P90" i="52" l="1"/>
  <c r="P95" i="52"/>
  <c r="R287" i="18"/>
  <c r="T272" i="18"/>
  <c r="J90" i="52"/>
  <c r="J95" i="52"/>
  <c r="V164" i="18"/>
  <c r="X164" i="18" s="1"/>
  <c r="S164" i="18"/>
  <c r="P175" i="18"/>
  <c r="W25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W164" i="18" l="1"/>
  <c r="F51" i="14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6" i="52" s="1"/>
  <c r="O95" i="52"/>
  <c r="N96" i="52"/>
  <c r="O96" i="52"/>
  <c r="N97" i="52"/>
  <c r="P97" i="52" s="1"/>
  <c r="O97" i="52"/>
  <c r="N98" i="52"/>
  <c r="O98" i="52"/>
  <c r="J92" i="52"/>
  <c r="J93" i="52"/>
  <c r="J94" i="52"/>
  <c r="J96" i="52"/>
  <c r="J97" i="52"/>
  <c r="J98" i="52"/>
  <c r="D68" i="52"/>
  <c r="O151" i="18"/>
  <c r="O150" i="18"/>
  <c r="O149" i="18"/>
  <c r="P98" i="52" l="1"/>
  <c r="P94" i="52"/>
  <c r="P93" i="52"/>
  <c r="O153" i="18"/>
  <c r="N91" i="52"/>
  <c r="P92" i="52" s="1"/>
  <c r="R250" i="18" l="1"/>
  <c r="W251" i="18"/>
  <c r="W250" i="18"/>
  <c r="W249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8" i="18"/>
  <c r="G146" i="18" l="1"/>
  <c r="J146" i="18" s="1"/>
  <c r="G145" i="18"/>
  <c r="J145" i="18" s="1"/>
  <c r="G144" i="18"/>
  <c r="J144" i="18" s="1"/>
  <c r="G143" i="18"/>
  <c r="J143" i="18" s="1"/>
  <c r="J147" i="18" l="1"/>
  <c r="R220" i="18"/>
  <c r="W247" i="18"/>
  <c r="O90" i="52" l="1"/>
  <c r="O91" i="52"/>
  <c r="O99" i="52"/>
  <c r="P99" i="52"/>
  <c r="J91" i="52"/>
  <c r="J99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5" i="18"/>
  <c r="N35" i="18" s="1"/>
  <c r="W246" i="18"/>
  <c r="G32" i="57" l="1"/>
  <c r="H32" i="57"/>
  <c r="D32" i="57"/>
  <c r="I32" i="57" s="1"/>
  <c r="D345" i="20"/>
  <c r="U256" i="18"/>
  <c r="W245" i="18"/>
  <c r="W244" i="18"/>
  <c r="W180" i="18" l="1"/>
  <c r="W17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N55" i="18" l="1"/>
  <c r="P27" i="18"/>
  <c r="N27" i="18" s="1"/>
  <c r="P32" i="18"/>
  <c r="N32" i="18" s="1"/>
  <c r="O84" i="52"/>
  <c r="P22" i="18"/>
  <c r="W243" i="18"/>
  <c r="D343" i="20"/>
  <c r="W242" i="18" l="1"/>
  <c r="D342" i="20"/>
  <c r="J83" i="52"/>
  <c r="O83" i="52"/>
  <c r="W241" i="18"/>
  <c r="W240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9" i="18"/>
  <c r="AL145" i="18" l="1"/>
  <c r="AM145" i="18" s="1"/>
  <c r="D340" i="20" l="1"/>
  <c r="P36" i="18"/>
  <c r="N36" i="18" s="1"/>
  <c r="N64" i="18"/>
  <c r="P26" i="18"/>
  <c r="N26" i="18" s="1"/>
  <c r="P23" i="18"/>
  <c r="N23" i="18" s="1"/>
  <c r="N52" i="18"/>
  <c r="W238" i="18"/>
  <c r="H337" i="20"/>
  <c r="H338" i="20"/>
  <c r="H339" i="20"/>
  <c r="H340" i="20"/>
  <c r="H341" i="20"/>
  <c r="H368" i="20"/>
  <c r="H369" i="20"/>
  <c r="D339" i="20"/>
  <c r="O83" i="18" l="1"/>
  <c r="O82" i="18"/>
  <c r="O81" i="18"/>
  <c r="B371" i="20"/>
  <c r="D332" i="20"/>
  <c r="D333" i="20"/>
  <c r="D334" i="20"/>
  <c r="D335" i="20"/>
  <c r="D336" i="20"/>
  <c r="D337" i="20"/>
  <c r="D338" i="20"/>
  <c r="D369" i="20"/>
  <c r="W237" i="18" l="1"/>
  <c r="D80" i="57"/>
  <c r="AD46" i="52" l="1"/>
  <c r="AE46" i="52"/>
  <c r="G46" i="10"/>
  <c r="D331" i="20" l="1"/>
  <c r="D330" i="20" l="1"/>
  <c r="W236" i="18" l="1"/>
  <c r="W235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P91" i="52" s="1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2" i="52" l="1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0" i="18"/>
  <c r="M122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4" i="18" l="1"/>
  <c r="W233" i="18"/>
  <c r="G136" i="18"/>
  <c r="J136" i="18" s="1"/>
  <c r="G135" i="18"/>
  <c r="J135" i="18" s="1"/>
  <c r="G134" i="18"/>
  <c r="J134" i="18" s="1"/>
  <c r="G133" i="18"/>
  <c r="J133" i="18" s="1"/>
  <c r="J137" i="18" l="1"/>
  <c r="Z40" i="52"/>
  <c r="Z39" i="52"/>
  <c r="Z38" i="52"/>
  <c r="AD38" i="52"/>
  <c r="AD39" i="52"/>
  <c r="AD40" i="52"/>
  <c r="AE40" i="52"/>
  <c r="AE39" i="52"/>
  <c r="AE38" i="52"/>
  <c r="R19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2" i="18"/>
  <c r="W231" i="18"/>
  <c r="L4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0" i="18" l="1"/>
  <c r="W22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8" i="18" l="1"/>
  <c r="W22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3" i="18"/>
  <c r="N33" i="18" s="1"/>
  <c r="AM231" i="18" l="1"/>
  <c r="AL230" i="18"/>
  <c r="W226" i="18"/>
  <c r="W225" i="18"/>
  <c r="N30" i="52"/>
  <c r="N29" i="52"/>
  <c r="AD27" i="52"/>
  <c r="Z27" i="52"/>
  <c r="AE27" i="52"/>
  <c r="AL229" i="18" l="1"/>
  <c r="AM230" i="18"/>
  <c r="W224" i="18"/>
  <c r="W223" i="18"/>
  <c r="N28" i="52"/>
  <c r="N27" i="52"/>
  <c r="AL228" i="18" l="1"/>
  <c r="AM229" i="18"/>
  <c r="AD26" i="52"/>
  <c r="AE26" i="52"/>
  <c r="N44" i="18"/>
  <c r="AM228" i="18" l="1"/>
  <c r="AL227" i="18"/>
  <c r="D313" i="20"/>
  <c r="AL226" i="18" l="1"/>
  <c r="AM227" i="18"/>
  <c r="L126" i="18"/>
  <c r="L123" i="18" s="1"/>
  <c r="AM226" i="18" l="1"/>
  <c r="AL225" i="18"/>
  <c r="L121" i="18"/>
  <c r="L122" i="18"/>
  <c r="N122" i="18" s="1"/>
  <c r="M126" i="18"/>
  <c r="L115" i="18"/>
  <c r="W222" i="18"/>
  <c r="W221" i="18"/>
  <c r="N24" i="52"/>
  <c r="N26" i="52"/>
  <c r="N25" i="52"/>
  <c r="AL224" i="18" l="1"/>
  <c r="AM225" i="18"/>
  <c r="N74" i="18"/>
  <c r="K125" i="18"/>
  <c r="L117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0" i="18"/>
  <c r="W21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8" i="18"/>
  <c r="W21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5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7" i="18"/>
  <c r="AM164" i="18"/>
  <c r="AD23" i="52"/>
  <c r="Z23" i="52"/>
  <c r="AE23" i="52"/>
  <c r="Z22" i="52"/>
  <c r="AD22" i="52"/>
  <c r="AE22" i="52"/>
  <c r="N61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6" i="18"/>
  <c r="W21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P34" i="18"/>
  <c r="N34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4" i="18"/>
  <c r="W21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6" i="18"/>
  <c r="L118" i="18"/>
  <c r="L119" i="18"/>
  <c r="L120" i="18"/>
  <c r="J355" i="20" l="1"/>
  <c r="I355" i="20"/>
  <c r="G354" i="20"/>
  <c r="K355" i="20"/>
  <c r="W212" i="18"/>
  <c r="W211" i="18"/>
  <c r="D303" i="20"/>
  <c r="D302" i="20"/>
  <c r="W21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7" i="18"/>
  <c r="P31" i="18"/>
  <c r="P28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8" i="18"/>
  <c r="N59" i="18"/>
  <c r="M121" i="18" s="1"/>
  <c r="N121" i="18" s="1"/>
  <c r="N57" i="18"/>
  <c r="M120" i="18" s="1"/>
  <c r="I350" i="20" l="1"/>
  <c r="J350" i="20"/>
  <c r="K350" i="20"/>
  <c r="G349" i="20"/>
  <c r="N120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7" i="18"/>
  <c r="W20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5" i="18"/>
  <c r="W204" i="18"/>
  <c r="G346" i="20" l="1"/>
  <c r="J347" i="20"/>
  <c r="I347" i="20"/>
  <c r="K347" i="20"/>
  <c r="D293" i="20"/>
  <c r="K346" i="20" l="1"/>
  <c r="G345" i="20"/>
  <c r="J346" i="20"/>
  <c r="I346" i="20"/>
  <c r="W203" i="18"/>
  <c r="N58" i="18"/>
  <c r="M119" i="18" s="1"/>
  <c r="N62" i="18"/>
  <c r="K345" i="20" l="1"/>
  <c r="G344" i="20"/>
  <c r="J345" i="20"/>
  <c r="I345" i="20"/>
  <c r="N119" i="18"/>
  <c r="D292" i="20"/>
  <c r="C8" i="36"/>
  <c r="W202" i="18"/>
  <c r="N5" i="52"/>
  <c r="I344" i="20" l="1"/>
  <c r="K344" i="20"/>
  <c r="G343" i="20"/>
  <c r="J344" i="20"/>
  <c r="N53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1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7" i="18"/>
  <c r="W200" i="18"/>
  <c r="D278" i="20"/>
  <c r="J327" i="20" l="1"/>
  <c r="K327" i="20"/>
  <c r="G326" i="20"/>
  <c r="I327" i="20"/>
  <c r="W178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2" i="18"/>
  <c r="I325" i="20" l="1"/>
  <c r="K325" i="20"/>
  <c r="J325" i="20"/>
  <c r="G324" i="20"/>
  <c r="S17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1" i="18"/>
  <c r="G320" i="20" l="1"/>
  <c r="K321" i="20"/>
  <c r="I321" i="20"/>
  <c r="J321" i="20"/>
  <c r="M123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3" i="18"/>
  <c r="N134" i="18"/>
  <c r="N135" i="18"/>
  <c r="N136" i="18"/>
  <c r="N137" i="18"/>
  <c r="N138" i="18"/>
  <c r="N139" i="18"/>
  <c r="N140" i="18"/>
  <c r="N132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8" i="18"/>
  <c r="AM124" i="18" l="1"/>
  <c r="AL123" i="18"/>
  <c r="AM123" i="18" l="1"/>
  <c r="AL122" i="18"/>
  <c r="AL121" i="18" l="1"/>
  <c r="AM122" i="18"/>
  <c r="W192" i="18"/>
  <c r="W193" i="18"/>
  <c r="W194" i="18"/>
  <c r="W195" i="18"/>
  <c r="W196" i="18"/>
  <c r="W197" i="18"/>
  <c r="W209" i="18"/>
  <c r="W191" i="18"/>
  <c r="AM121" i="18" l="1"/>
  <c r="AL120" i="18"/>
  <c r="N65" i="18"/>
  <c r="AM120" i="18" l="1"/>
  <c r="AL119" i="18"/>
  <c r="AM119" i="18" l="1"/>
  <c r="AL118" i="18"/>
  <c r="T175" i="18"/>
  <c r="S61" i="18"/>
  <c r="S62" i="18" s="1"/>
  <c r="S63" i="18" s="1"/>
  <c r="R196" i="18"/>
  <c r="R194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N37" i="18"/>
  <c r="Q80" i="18" s="1"/>
  <c r="S71" i="18" l="1"/>
  <c r="S72" i="18" s="1"/>
  <c r="S73" i="18" s="1"/>
  <c r="S74" i="18" s="1"/>
  <c r="S75" i="18" s="1"/>
  <c r="S76" i="18" s="1"/>
  <c r="S77" i="18" s="1"/>
  <c r="S78" i="18" s="1"/>
  <c r="R193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6" i="18"/>
  <c r="M118" i="18" s="1"/>
  <c r="N118" i="18" l="1"/>
  <c r="AM112" i="18"/>
  <c r="AL111" i="18"/>
  <c r="D108" i="50"/>
  <c r="AL110" i="18" l="1"/>
  <c r="AM111" i="18"/>
  <c r="N54" i="18"/>
  <c r="AL109" i="18" l="1"/>
  <c r="AM110" i="18"/>
  <c r="N117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3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90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8" i="18"/>
  <c r="M116" i="18" s="1"/>
  <c r="S46" i="18" l="1"/>
  <c r="S47" i="18" s="1"/>
  <c r="S48" i="18" s="1"/>
  <c r="S49" i="18" s="1"/>
  <c r="S50" i="18" s="1"/>
  <c r="S51" i="18" s="1"/>
  <c r="S52" i="18" s="1"/>
  <c r="S53" i="18" s="1"/>
  <c r="S54" i="18" s="1"/>
  <c r="AL99" i="18"/>
  <c r="AM100" i="18"/>
  <c r="N116" i="18"/>
  <c r="AL200" i="18"/>
  <c r="AM201" i="18"/>
  <c r="AM99" i="18" l="1"/>
  <c r="AL98" i="18"/>
  <c r="AL199" i="18"/>
  <c r="AM200" i="18"/>
  <c r="P70" i="18"/>
  <c r="AL97" i="18" l="1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6" i="18" l="1"/>
  <c r="AJ236" i="18"/>
  <c r="AJ237" i="18" s="1"/>
  <c r="R192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70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63" i="18"/>
  <c r="Q167" i="18" s="1"/>
  <c r="M115" i="18" l="1"/>
  <c r="N115" i="18" s="1"/>
  <c r="N126" i="18" s="1"/>
  <c r="AJ171" i="18"/>
  <c r="AJ172" i="18" s="1"/>
  <c r="R191" i="18"/>
  <c r="R201" i="18" s="1"/>
  <c r="T259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2" i="18" l="1"/>
  <c r="S180" i="18"/>
  <c r="U272" i="18"/>
  <c r="G304" i="20"/>
  <c r="I305" i="20"/>
  <c r="K305" i="20"/>
  <c r="J305" i="20"/>
  <c r="S129" i="18"/>
  <c r="AL73" i="18"/>
  <c r="AM74" i="18"/>
  <c r="N96" i="18"/>
  <c r="V54" i="18" l="1"/>
  <c r="X54" i="18" s="1"/>
  <c r="V78" i="18"/>
  <c r="V74" i="18"/>
  <c r="V77" i="18"/>
  <c r="V75" i="18"/>
  <c r="V76" i="18"/>
  <c r="U180" i="18"/>
  <c r="V180" i="18" s="1"/>
  <c r="V73" i="18"/>
  <c r="X73" i="18" s="1"/>
  <c r="V53" i="18"/>
  <c r="V52" i="18"/>
  <c r="X52" i="18" s="1"/>
  <c r="V72" i="18"/>
  <c r="V51" i="18"/>
  <c r="W51" i="18" s="1"/>
  <c r="V71" i="18"/>
  <c r="V50" i="18"/>
  <c r="V49" i="18"/>
  <c r="V48" i="18"/>
  <c r="W48" i="18" s="1"/>
  <c r="V70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72" i="18"/>
  <c r="V31" i="18"/>
  <c r="W31" i="18" s="1"/>
  <c r="V68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7" i="18"/>
  <c r="V118" i="18"/>
  <c r="V119" i="18"/>
  <c r="V116" i="18"/>
  <c r="V115" i="18"/>
  <c r="V114" i="18"/>
  <c r="V113" i="18"/>
  <c r="V110" i="18"/>
  <c r="V112" i="18"/>
  <c r="V111" i="18"/>
  <c r="V117" i="18"/>
  <c r="V166" i="18"/>
  <c r="V108" i="18"/>
  <c r="W108" i="18" s="1"/>
  <c r="V109" i="18"/>
  <c r="V29" i="18"/>
  <c r="W29" i="18" s="1"/>
  <c r="V66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5" i="18"/>
  <c r="V26" i="18"/>
  <c r="X26" i="18" s="1"/>
  <c r="V64" i="18"/>
  <c r="V79" i="18"/>
  <c r="V63" i="18"/>
  <c r="V100" i="18"/>
  <c r="V62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W54" i="18" l="1"/>
  <c r="W78" i="18"/>
  <c r="X78" i="18"/>
  <c r="W75" i="18"/>
  <c r="X75" i="18"/>
  <c r="W77" i="18"/>
  <c r="X77" i="18"/>
  <c r="W76" i="18"/>
  <c r="X76" i="18"/>
  <c r="W74" i="18"/>
  <c r="X74" i="18"/>
  <c r="W73" i="18"/>
  <c r="W53" i="18"/>
  <c r="X53" i="18"/>
  <c r="W52" i="18"/>
  <c r="X51" i="18"/>
  <c r="X72" i="18"/>
  <c r="W72" i="18"/>
  <c r="W71" i="18"/>
  <c r="X71" i="18"/>
  <c r="X49" i="18"/>
  <c r="W49" i="18"/>
  <c r="W50" i="18"/>
  <c r="X50" i="18"/>
  <c r="X48" i="18"/>
  <c r="W70" i="18"/>
  <c r="X70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79" i="18"/>
  <c r="G302" i="20"/>
  <c r="K303" i="20"/>
  <c r="I303" i="20"/>
  <c r="J303" i="20"/>
  <c r="X31" i="18"/>
  <c r="W68" i="18"/>
  <c r="X68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7" i="18"/>
  <c r="X67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6" i="18"/>
  <c r="X166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6" i="18"/>
  <c r="X66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5" i="18"/>
  <c r="X65" i="18"/>
  <c r="W26" i="18"/>
  <c r="W64" i="18"/>
  <c r="X64" i="18"/>
  <c r="W63" i="18"/>
  <c r="X63" i="18"/>
  <c r="W79" i="18"/>
  <c r="X79" i="18"/>
  <c r="S178" i="18"/>
  <c r="S177" i="18"/>
  <c r="U177" i="18" s="1"/>
  <c r="W100" i="18"/>
  <c r="X100" i="18"/>
  <c r="X62" i="18"/>
  <c r="W62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9" i="18" l="1"/>
  <c r="V179" i="18" s="1"/>
  <c r="N40" i="18"/>
  <c r="L21" i="18" s="1"/>
  <c r="U178" i="18"/>
  <c r="V178" i="18" s="1"/>
  <c r="W130" i="18"/>
  <c r="X131" i="18"/>
  <c r="S133" i="18"/>
  <c r="V132" i="18"/>
  <c r="N73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S152" i="18" s="1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S153" i="18"/>
  <c r="J278" i="20"/>
  <c r="I278" i="20"/>
  <c r="G277" i="20"/>
  <c r="K278" i="20"/>
  <c r="AL46" i="18"/>
  <c r="AM47" i="18"/>
  <c r="E245" i="15"/>
  <c r="G41" i="14" l="1"/>
  <c r="E40" i="14"/>
  <c r="V152" i="18"/>
  <c r="W152" i="18" s="1"/>
  <c r="J277" i="20"/>
  <c r="I277" i="20"/>
  <c r="G276" i="20"/>
  <c r="K277" i="20"/>
  <c r="AM46" i="18"/>
  <c r="AL45" i="18"/>
  <c r="N15" i="33"/>
  <c r="E244" i="15"/>
  <c r="G40" i="14" l="1"/>
  <c r="E39" i="14"/>
  <c r="X152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4" i="18"/>
  <c r="V153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4" i="18"/>
  <c r="X154" i="18" s="1"/>
  <c r="S155" i="18"/>
  <c r="W153" i="18"/>
  <c r="X153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V155" i="18"/>
  <c r="W155" i="18" s="1"/>
  <c r="S156" i="18"/>
  <c r="W154" i="18"/>
  <c r="G272" i="20"/>
  <c r="J273" i="20"/>
  <c r="K273" i="20"/>
  <c r="I273" i="20"/>
  <c r="AL41" i="18"/>
  <c r="AM42" i="18"/>
  <c r="G36" i="14" l="1"/>
  <c r="E35" i="14"/>
  <c r="V156" i="18"/>
  <c r="W156" i="18" s="1"/>
  <c r="S157" i="18"/>
  <c r="X155" i="18"/>
  <c r="J272" i="20"/>
  <c r="K272" i="20"/>
  <c r="I272" i="20"/>
  <c r="G271" i="20"/>
  <c r="AM41" i="18"/>
  <c r="AL40" i="18"/>
  <c r="G35" i="14" l="1"/>
  <c r="E34" i="14"/>
  <c r="V157" i="18"/>
  <c r="W157" i="18" s="1"/>
  <c r="S158" i="18"/>
  <c r="X156" i="18"/>
  <c r="G270" i="20"/>
  <c r="I271" i="20"/>
  <c r="J271" i="20"/>
  <c r="K271" i="20"/>
  <c r="AL39" i="18"/>
  <c r="AM40" i="18"/>
  <c r="E243" i="15"/>
  <c r="G34" i="14" l="1"/>
  <c r="E33" i="14"/>
  <c r="V158" i="18"/>
  <c r="W158" i="18" s="1"/>
  <c r="S159" i="18"/>
  <c r="X157" i="18"/>
  <c r="G269" i="20"/>
  <c r="J270" i="20"/>
  <c r="K270" i="20"/>
  <c r="I270" i="20"/>
  <c r="AM39" i="18"/>
  <c r="AL38" i="18"/>
  <c r="E242" i="15"/>
  <c r="E32" i="14" l="1"/>
  <c r="G33" i="14"/>
  <c r="X158" i="18"/>
  <c r="S160" i="18"/>
  <c r="V159" i="18"/>
  <c r="I269" i="20"/>
  <c r="K269" i="20"/>
  <c r="J269" i="20"/>
  <c r="G268" i="20"/>
  <c r="AL37" i="18"/>
  <c r="AM38" i="18"/>
  <c r="J57" i="33"/>
  <c r="J55" i="33"/>
  <c r="J54" i="33"/>
  <c r="G32" i="14" l="1"/>
  <c r="E31" i="14"/>
  <c r="W159" i="18"/>
  <c r="X159" i="18"/>
  <c r="S161" i="18"/>
  <c r="V160" i="18"/>
  <c r="J268" i="20"/>
  <c r="I268" i="20"/>
  <c r="G267" i="20"/>
  <c r="K268" i="20"/>
  <c r="AL36" i="18"/>
  <c r="AM37" i="18"/>
  <c r="L57" i="33"/>
  <c r="E241" i="15"/>
  <c r="G31" i="14" l="1"/>
  <c r="E30" i="14"/>
  <c r="S162" i="18"/>
  <c r="V161" i="18"/>
  <c r="W160" i="18"/>
  <c r="X160" i="18"/>
  <c r="I267" i="20"/>
  <c r="K267" i="20"/>
  <c r="G266" i="20"/>
  <c r="J267" i="20"/>
  <c r="AM36" i="18"/>
  <c r="AL35" i="18"/>
  <c r="D168" i="20"/>
  <c r="E29" i="14" l="1"/>
  <c r="G30" i="14"/>
  <c r="V162" i="18"/>
  <c r="W162" i="18" s="1"/>
  <c r="S163" i="18"/>
  <c r="V163" i="18" s="1"/>
  <c r="W161" i="18"/>
  <c r="X161" i="18"/>
  <c r="J266" i="20"/>
  <c r="G265" i="20"/>
  <c r="K266" i="20"/>
  <c r="I266" i="20"/>
  <c r="AL34" i="18"/>
  <c r="AM35" i="18"/>
  <c r="E240" i="15"/>
  <c r="E239" i="15"/>
  <c r="X162" i="18" l="1"/>
  <c r="G29" i="14"/>
  <c r="E28" i="14"/>
  <c r="W163" i="18"/>
  <c r="X163" i="18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6" i="18" l="1"/>
  <c r="F24" i="18" s="1"/>
  <c r="G113" i="20"/>
  <c r="J114" i="20"/>
  <c r="I114" i="20"/>
  <c r="K114" i="20"/>
  <c r="L77" i="18"/>
  <c r="E33" i="13"/>
  <c r="G34" i="13"/>
  <c r="F108" i="15"/>
  <c r="C20" i="18"/>
  <c r="G20" i="14"/>
  <c r="G21" i="14"/>
  <c r="G112" i="20" l="1"/>
  <c r="K113" i="20"/>
  <c r="J113" i="20"/>
  <c r="I113" i="20"/>
  <c r="L7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<sst xmlns="http://schemas.openxmlformats.org/spreadsheetml/2006/main" count="11642" uniqueCount="5003">
  <si>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</si>
  <si>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</si>
  <si>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</si>
  <si>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</si>
  <si>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</si>
  <si>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</si>
  <si>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</si>
  <si>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</si>
  <si>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</si>
  <si>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</si>
  <si>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</si>
  <si>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</si>
  <si>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</si>
  <si>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</si>
  <si>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</si>
  <si>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</si>
  <si>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</si>
  <si>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</si>
  <si>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</si>
  <si>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</si>
  <si>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</si>
  <si>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</si>
  <si>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</si>
  <si>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</si>
  <si>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</si>
  <si>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</si>
  <si>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</si>
  <si>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</si>
  <si>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</si>
  <si>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</si>
  <si>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</si>
  <si>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</si>
  <si>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</si>
  <si>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</si>
  <si>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</si>
  <si>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</si>
  <si>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</si>
  <si>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</si>
  <si>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</si>
  <si>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</si>
  <si>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</si>
  <si>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</si>
  <si>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</si>
  <si>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</si>
  <si>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</si>
  <si>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</si>
  <si>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</si>
  <si>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</si>
  <si>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</si>
  <si>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</si>
  <si>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</si>
  <si>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</si>
  <si>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</si>
  <si>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</si>
  <si>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</si>
  <si>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</si>
  <si>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</si>
  <si>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</si>
  <si>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</si>
  <si>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</si>
  <si>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</si>
  <si>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</si>
  <si>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</si>
  <si>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</si>
  <si>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</si>
  <si>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</si>
  <si>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</si>
  <si>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</si>
  <si>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</si>
  <si>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</si>
  <si>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</si>
  <si>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</si>
  <si>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</si>
  <si>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</si>
  <si>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</si>
  <si>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</si>
  <si>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</si>
  <si>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</si>
  <si>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</si>
  <si>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</si>
  <si>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</si>
  <si>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</si>
  <si>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</si>
  <si>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</si>
  <si>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</si>
  <si>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</si>
  <si>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</si>
  <si>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</si>
  <si>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</si>
  <si>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</si>
  <si>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</si>
  <si>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</si>
  <si>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</si>
  <si>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</si>
  <si>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</si>
  <si>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</si>
  <si>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</si>
  <si>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</si>
  <si>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</si>
  <si>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</si>
  <si>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</si>
  <si>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</si>
  <si>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</si>
  <si>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</si>
  <si>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</si>
  <si>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</si>
  <si>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</si>
  <si>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</si>
  <si>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</si>
  <si>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</si>
  <si>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</si>
  <si>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</si>
  <si>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</si>
  <si>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</si>
  <si>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</si>
  <si>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</si>
  <si>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</si>
  <si>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</si>
  <si>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</si>
  <si>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</si>
  <si>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</si>
  <si>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</si>
  <si>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</si>
  <si>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</si>
  <si>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</si>
  <si>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</si>
  <si>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</si>
  <si>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</si>
  <si>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</si>
  <si>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</si>
  <si>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</si>
  <si>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</si>
  <si>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</si>
  <si>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</si>
  <si>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</si>
  <si>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</si>
  <si>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</si>
  <si>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</si>
  <si>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</si>
  <si>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</si>
  <si>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</si>
  <si>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</si>
  <si>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</si>
  <si>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</si>
  <si>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</si>
  <si>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</si>
  <si>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</si>
  <si>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</si>
  <si>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</si>
  <si>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</si>
  <si>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</si>
  <si>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</si>
  <si>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</si>
  <si>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</si>
  <si>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</si>
  <si>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</si>
  <si>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</si>
  <si>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</si>
  <si>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</si>
  <si>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</si>
  <si>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</si>
  <si>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</si>
  <si>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</si>
  <si>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</si>
  <si>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</si>
  <si>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</si>
  <si>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</si>
  <si>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</si>
  <si>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</si>
  <si>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</si>
  <si>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</si>
  <si>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</si>
  <si>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</si>
  <si>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</si>
  <si>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</si>
  <si>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</si>
  <si>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</si>
  <si>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</si>
  <si>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</si>
  <si>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</si>
  <si>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</si>
  <si>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</si>
  <si>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</si>
  <si>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</si>
  <si>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</si>
  <si>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</si>
  <si>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</si>
  <si>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</si>
  <si>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</si>
  <si>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</si>
  <si>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</si>
  <si>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</si>
  <si>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</si>
  <si>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</si>
  <si>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</si>
  <si>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</si>
  <si>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</si>
  <si>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</si>
  <si>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</si>
  <si>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</si>
  <si>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</si>
  <si>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</si>
  <si>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</si>
  <si>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</si>
  <si>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</si>
  <si>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</si>
  <si>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</si>
  <si>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</si>
  <si>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</si>
  <si>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</si>
  <si>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</si>
  <si>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</si>
  <si>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</si>
  <si>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</si>
  <si>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</si>
  <si>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</si>
  <si>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</si>
  <si>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</si>
  <si>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</si>
  <si>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</si>
  <si>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</si>
  <si>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</si>
  <si>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</si>
  <si>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</si>
  <si>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</si>
  <si>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</si>
  <si>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</si>
  <si>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</si>
  <si>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</si>
  <si>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</si>
  <si>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</si>
  <si>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</si>
  <si>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</si>
  <si>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</si>
  <si>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</si>
  <si>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</si>
  <si>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</si>
  <si>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</si>
  <si>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</si>
  <si>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</si>
  <si>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</si>
  <si>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</si>
  <si>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</si>
  <si>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</si>
  <si>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</si>
  <si>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</si>
  <si>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</si>
  <si>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</si>
  <si>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</si>
  <si>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</si>
  <si>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</si>
  <si>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</si>
  <si>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</si>
  <si>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</si>
  <si>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</si>
  <si>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</si>
  <si>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</si>
  <si>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</si>
  <si>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</si>
  <si>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</si>
  <si>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</si>
  <si>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</si>
  <si>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</si>
  <si>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</si>
  <si>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</si>
  <si>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</si>
  <si>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</si>
  <si>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</si>
  <si>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</si>
  <si>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</si>
  <si>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</si>
  <si>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</si>
  <si>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</si>
  <si>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</si>
  <si>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</si>
  <si>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</si>
  <si>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</si>
  <si>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</si>
  <si>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</si>
  <si>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</si>
  <si>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</si>
  <si>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</si>
  <si>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</si>
  <si>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</si>
  <si>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</si>
  <si>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</si>
  <si>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</si>
  <si>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</si>
  <si>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</si>
  <si>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</si>
  <si>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</si>
  <si>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</si>
  <si>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</si>
  <si>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</si>
  <si>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</si>
  <si>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</si>
  <si>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</si>
  <si>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</si>
  <si>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</si>
  <si>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</si>
  <si>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</si>
  <si>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</si>
  <si>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</si>
  <si>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</si>
  <si>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</si>
  <si>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</si>
  <si>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</si>
  <si>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</si>
  <si>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</si>
  <si>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</si>
  <si>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</si>
  <si>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</si>
  <si>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</si>
  <si>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</si>
  <si>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</si>
  <si>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</si>
  <si>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</si>
  <si>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</si>
  <si>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</si>
  <si>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</si>
  <si>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</si>
  <si>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</si>
  <si>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</si>
  <si>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</si>
  <si>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</si>
  <si>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</si>
  <si>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</si>
  <si>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</si>
  <si>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</si>
  <si>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</si>
  <si>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</si>
  <si>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</si>
  <si>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</si>
  <si>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</si>
  <si>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</si>
  <si>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</si>
  <si>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</si>
  <si>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</si>
  <si>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</si>
  <si>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</si>
  <si>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</si>
  <si>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</si>
  <si>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</si>
  <si>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</si>
  <si>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</si>
  <si>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</si>
  <si>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</si>
  <si>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</si>
  <si>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</si>
  <si>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</si>
  <si>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</si>
  <si>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</si>
  <si>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</si>
  <si>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</si>
  <si>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</si>
  <si>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</si>
  <si>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</si>
  <si>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</si>
  <si>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</si>
  <si>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</si>
  <si>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</si>
  <si>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</si>
  <si>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</si>
  <si>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</si>
  <si>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</si>
  <si>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</si>
  <si>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</si>
  <si>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</si>
  <si>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</si>
  <si>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</si>
  <si>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</si>
  <si>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</si>
  <si>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</si>
  <si>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</si>
  <si>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</si>
  <si>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</si>
  <si>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</si>
  <si>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</si>
  <si>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</si>
  <si>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</si>
  <si>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</si>
  <si>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</si>
  <si>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</si>
  <si>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</si>
  <si>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</si>
  <si>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</si>
  <si>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</si>
  <si>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</si>
  <si>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</si>
  <si>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</si>
  <si>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</si>
  <si>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</si>
  <si>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</si>
  <si>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</si>
  <si>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</si>
  <si>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</si>
  <si>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</si>
  <si>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</si>
  <si>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</si>
  <si>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</si>
  <si>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</si>
  <si>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</si>
  <si>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</si>
  <si>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</si>
  <si>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</si>
  <si>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</si>
  <si>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</si>
  <si>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</si>
  <si>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</si>
  <si>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</si>
  <si>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</si>
  <si>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</si>
  <si>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</si>
  <si>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</si>
  <si>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</si>
  <si>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</si>
  <si>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</si>
  <si>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</si>
  <si>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</si>
  <si>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</si>
  <si>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</si>
  <si>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</si>
  <si>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</si>
  <si>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</si>
  <si>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</si>
  <si>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</si>
  <si>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</si>
  <si>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</si>
  <si>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</si>
  <si>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</si>
  <si>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</si>
  <si>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</si>
  <si>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</si>
  <si>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</si>
  <si>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</si>
  <si>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</si>
  <si>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</si>
  <si>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</si>
  <si>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</si>
  <si>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</si>
  <si>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</si>
  <si>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</si>
  <si>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</si>
  <si>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</si>
  <si>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</si>
  <si>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</si>
  <si>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</si>
  <si>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</si>
  <si>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</si>
  <si>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</si>
  <si>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</si>
  <si>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</si>
  <si>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</si>
  <si>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</si>
  <si>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</si>
  <si>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</si>
  <si>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</si>
  <si>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</si>
  <si>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</si>
  <si>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</si>
  <si>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</si>
  <si>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</si>
  <si>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</si>
  <si>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</si>
  <si>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</si>
  <si>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</si>
  <si>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</si>
  <si>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</si>
  <si>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</si>
  <si>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</si>
  <si>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</si>
  <si>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</si>
  <si>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</si>
  <si>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</si>
  <si>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</si>
  <si>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</si>
  <si>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</si>
  <si>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</si>
  <si>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</si>
  <si>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</si>
  <si>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</si>
  <si>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</si>
  <si>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</si>
  <si>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</si>
  <si>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</si>
  <si>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</si>
  <si>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</si>
  <si>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</si>
  <si>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</si>
  <si>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</si>
  <si>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</si>
  <si>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</si>
  <si>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</si>
  <si>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</si>
  <si>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</si>
  <si>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</si>
  <si>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</si>
  <si>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</si>
  <si>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</si>
  <si>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</si>
  <si>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</si>
  <si>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</si>
  <si>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</si>
  <si>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</si>
  <si>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</si>
  <si>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</si>
  <si>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</si>
  <si>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</si>
  <si>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</si>
  <si>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</si>
  <si>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</si>
  <si>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</si>
  <si>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</si>
  <si>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</si>
  <si>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</si>
  <si>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</si>
  <si>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</si>
  <si>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</si>
  <si>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</si>
  <si>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</si>
  <si>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</si>
  <si>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</si>
  <si>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</si>
  <si>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</si>
  <si>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</si>
  <si>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</si>
  <si>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</si>
  <si>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</si>
  <si>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</si>
  <si>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</si>
  <si>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</si>
  <si>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</si>
  <si>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</si>
  <si>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</si>
  <si>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</si>
  <si>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</si>
  <si>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</si>
  <si>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</si>
  <si>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</si>
  <si>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</si>
  <si>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</si>
  <si>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</si>
  <si>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</si>
  <si>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</si>
  <si>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</si>
  <si>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</si>
  <si>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</si>
  <si>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</si>
  <si>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</si>
  <si>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</si>
  <si>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</si>
  <si>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</si>
  <si>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</si>
  <si>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</si>
  <si>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</si>
  <si>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</si>
  <si>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</si>
  <si>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</si>
  <si>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</si>
  <si>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</si>
  <si>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</si>
  <si>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</si>
  <si>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</si>
  <si>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</si>
  <si>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</si>
  <si>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</si>
  <si>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</si>
  <si>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</si>
  <si>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</si>
  <si>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</si>
  <si>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</si>
  <si>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</si>
  <si>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</si>
  <si>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</si>
  <si>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</si>
  <si>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</si>
  <si>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</si>
  <si>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</si>
  <si>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</si>
  <si>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</si>
  <si>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</si>
  <si>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</si>
  <si>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</si>
  <si>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</si>
  <si>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</si>
  <si>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</si>
  <si>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</si>
  <si>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</si>
  <si>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</si>
  <si>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</si>
  <si>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</si>
  <si>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</si>
  <si>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</si>
  <si>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</si>
  <si>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</si>
  <si>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</si>
  <si>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</si>
  <si>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</si>
  <si>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</si>
  <si>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</si>
  <si>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</si>
  <si>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</si>
  <si>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</si>
  <si>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</si>
  <si>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</si>
  <si>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</si>
  <si>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</si>
  <si>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</si>
  <si>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</si>
  <si>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</si>
  <si>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</si>
  <si>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</si>
  <si>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</si>
  <si>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</si>
  <si>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</si>
  <si>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</si>
  <si>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</si>
  <si>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</si>
  <si>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</si>
  <si>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</si>
  <si>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</si>
  <si>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</si>
  <si>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</si>
  <si>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</si>
  <si>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</si>
  <si>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</si>
  <si>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</si>
  <si>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</si>
  <si>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</si>
  <si>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</si>
  <si>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</si>
  <si>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</si>
  <si>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</si>
  <si>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</si>
  <si>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</si>
  <si>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</si>
  <si>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</si>
  <si>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</si>
  <si>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</si>
  <si>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</si>
  <si>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</si>
  <si>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</si>
  <si>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</si>
  <si>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</si>
  <si>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</si>
  <si>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</si>
  <si>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</si>
  <si>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</si>
  <si>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</si>
  <si>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</si>
  <si>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</si>
  <si>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</si>
  <si>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</si>
  <si>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</si>
  <si>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</si>
  <si>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</si>
  <si>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</si>
  <si>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</si>
  <si>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</si>
  <si>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</si>
  <si>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</si>
  <si>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</si>
  <si>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</si>
  <si>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</si>
  <si>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</si>
  <si>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</si>
  <si>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</si>
  <si>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</si>
  <si>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</si>
  <si>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</si>
  <si>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</si>
  <si>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</si>
  <si>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</si>
  <si>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</si>
  <si>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</si>
  <si>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</si>
  <si>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</si>
  <si>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</si>
  <si>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</si>
  <si>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</si>
  <si>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</si>
  <si>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</si>
  <si>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</si>
  <si>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</si>
  <si>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</si>
  <si>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</si>
  <si>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</si>
  <si>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</si>
  <si>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</si>
  <si>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</si>
  <si>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</si>
  <si>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</si>
  <si>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</si>
  <si>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</si>
  <si>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</si>
  <si>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</si>
  <si>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</si>
  <si>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</si>
  <si>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</si>
  <si>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</si>
  <si>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</si>
  <si>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</si>
  <si>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</si>
  <si>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</si>
  <si>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</si>
  <si>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</si>
  <si>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</si>
  <si>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</si>
  <si>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</si>
  <si>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</si>
  <si>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</si>
  <si>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</si>
  <si>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</si>
  <si>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</si>
  <si>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</si>
  <si>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</si>
  <si>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</si>
  <si>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</si>
  <si>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</si>
  <si>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</si>
  <si>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</si>
  <si>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</si>
  <si>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</si>
  <si>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</si>
  <si>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</si>
  <si>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</si>
  <si>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</si>
  <si>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</si>
  <si>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</si>
  <si>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</si>
  <si>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</si>
  <si>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</si>
  <si>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</si>
  <si>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</si>
  <si>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</si>
  <si>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</si>
  <si>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</si>
  <si>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</si>
  <si>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</si>
  <si>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</si>
  <si>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</si>
  <si>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</si>
  <si>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</si>
  <si>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</si>
  <si>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</si>
  <si>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</si>
  <si>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</si>
  <si>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</si>
  <si>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</si>
  <si>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</si>
  <si>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</si>
  <si>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</si>
  <si>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</si>
  <si>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</si>
  <si>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</si>
  <si>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</si>
  <si>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</si>
  <si>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</si>
  <si>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</si>
  <si>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</si>
  <si>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</si>
  <si>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</si>
  <si>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</si>
  <si>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</si>
  <si>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</si>
  <si>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</si>
  <si>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</si>
  <si>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</si>
  <si>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</si>
  <si>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</si>
  <si>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</si>
  <si>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</si>
  <si>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</si>
  <si>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</si>
  <si>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</si>
  <si>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</si>
  <si>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</si>
  <si>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</si>
  <si>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</si>
  <si>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</si>
  <si>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</si>
  <si>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</si>
  <si>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</si>
  <si>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</si>
  <si>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</si>
  <si>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</si>
  <si>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</si>
  <si>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</si>
  <si>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</si>
  <si>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</si>
  <si>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</si>
  <si>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</si>
  <si>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</si>
  <si>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</si>
  <si>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</si>
  <si>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</si>
  <si>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</si>
  <si>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</si>
  <si>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</si>
  <si>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</si>
  <si>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</si>
  <si>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</si>
  <si>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</si>
  <si>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</si>
  <si>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</si>
  <si>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</si>
  <si>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</si>
  <si>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</si>
  <si>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</si>
  <si>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</si>
  <si>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</si>
  <si>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</si>
  <si>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</si>
  <si>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</si>
  <si>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</si>
  <si>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</si>
  <si>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</si>
  <si>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</si>
  <si>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</si>
  <si>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</si>
  <si>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</si>
  <si>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</si>
  <si>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</si>
  <si>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</si>
  <si>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</si>
  <si>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</si>
  <si>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</si>
  <si>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</si>
  <si>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</si>
  <si>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</si>
  <si>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</si>
  <si>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</si>
  <si>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</si>
  <si>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</si>
  <si>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</si>
  <si>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</si>
  <si>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</si>
  <si>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</si>
  <si>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</si>
  <si>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</si>
  <si>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</si>
  <si>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</si>
  <si>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</si>
  <si>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</si>
  <si>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</si>
  <si>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</si>
  <si>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</si>
  <si>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</si>
  <si>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</si>
  <si>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</si>
  <si>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</si>
  <si>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</si>
  <si>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</si>
  <si>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</si>
  <si>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</si>
  <si>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</si>
  <si>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</si>
  <si>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</si>
  <si>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</si>
  <si>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</si>
  <si>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</si>
  <si>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</si>
  <si>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</si>
  <si>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</si>
  <si>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</si>
  <si>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</si>
  <si>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</si>
  <si>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</si>
  <si>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</si>
  <si>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</si>
  <si>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</si>
  <si>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</si>
  <si>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</si>
  <si>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</si>
  <si>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</si>
  <si>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</si>
  <si>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</si>
  <si>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</si>
  <si>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</si>
  <si>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</si>
  <si>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</si>
  <si>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</si>
  <si>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</si>
  <si>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</si>
  <si>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</si>
  <si>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</si>
  <si>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</si>
  <si>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</si>
  <si>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</si>
  <si>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</si>
  <si>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</si>
  <si>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</si>
  <si>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</si>
  <si>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</si>
  <si>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</si>
  <si>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</si>
  <si>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</si>
  <si>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</si>
  <si>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</si>
  <si>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</si>
  <si>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</si>
  <si>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</si>
  <si>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</si>
  <si>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</si>
  <si>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</si>
  <si>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</si>
  <si>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</si>
  <si>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</si>
  <si>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</si>
  <si>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</si>
  <si>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</si>
  <si>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</si>
  <si>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</si>
  <si>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</si>
  <si>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</si>
  <si>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</si>
  <si>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</si>
  <si>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</si>
  <si>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</si>
  <si>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</si>
  <si>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</si>
  <si>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</si>
  <si>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</si>
  <si>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</si>
  <si>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</si>
  <si>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</si>
  <si>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</si>
  <si>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</si>
  <si>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</si>
  <si>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</si>
  <si>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</si>
  <si>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</si>
  <si>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</si>
  <si>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</si>
  <si>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</si>
  <si>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</si>
  <si>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</si>
  <si>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</si>
  <si>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</si>
  <si>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</si>
  <si>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</si>
  <si>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</si>
  <si>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</si>
  <si>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</si>
  <si>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</si>
  <si>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</si>
  <si>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</si>
  <si>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</si>
  <si>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</si>
  <si>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</si>
  <si>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</si>
  <si>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</si>
  <si>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</si>
  <si>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</si>
  <si>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</si>
  <si>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</si>
  <si>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</si>
  <si>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</si>
  <si>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</si>
  <si>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</si>
  <si>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</si>
  <si>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</si>
  <si>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</si>
  <si>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</si>
  <si>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</si>
  <si>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</si>
  <si>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</si>
  <si>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</si>
  <si>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</si>
  <si>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</si>
  <si>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</si>
  <si>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</si>
  <si>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</si>
  <si>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</si>
  <si>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</si>
  <si>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</si>
  <si>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</si>
  <si>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</si>
  <si>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</si>
  <si>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</si>
  <si>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</si>
  <si>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</si>
  <si>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</si>
  <si>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</si>
  <si>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</si>
  <si>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</si>
  <si>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</si>
  <si>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</si>
  <si>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</si>
  <si>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</si>
  <si>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</si>
  <si>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</si>
  <si>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</si>
  <si>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</si>
  <si>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</si>
  <si>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</si>
  <si>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</si>
  <si>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</si>
  <si>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</si>
  <si>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</si>
  <si>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</si>
  <si>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</si>
  <si>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</si>
  <si>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</si>
  <si>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</si>
  <si>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</si>
  <si>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</si>
  <si>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</si>
  <si>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</si>
  <si>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</si>
  <si>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</si>
  <si>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</si>
  <si>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</si>
  <si>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</si>
  <si>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</si>
  <si>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</si>
  <si>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</si>
  <si>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</si>
  <si>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</si>
  <si>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</si>
  <si>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</si>
  <si>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</si>
  <si>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</si>
  <si>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</si>
  <si>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</si>
  <si>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</si>
  <si>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</si>
  <si>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</si>
  <si>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</si>
  <si>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</si>
  <si>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</si>
  <si>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</si>
  <si>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</si>
  <si>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</si>
  <si>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</si>
  <si>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</si>
  <si>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</si>
  <si>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</si>
  <si>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</si>
  <si>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</si>
  <si>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</si>
  <si>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</si>
  <si>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</si>
  <si>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</si>
  <si>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</si>
  <si>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</si>
  <si>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</si>
  <si>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</si>
  <si>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</si>
  <si>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</si>
  <si>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</si>
  <si>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</si>
  <si>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</si>
  <si>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</si>
  <si>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</si>
  <si>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</si>
  <si>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</si>
  <si>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</si>
  <si>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</si>
  <si>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</si>
  <si>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</si>
  <si>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</si>
  <si>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</si>
  <si>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</si>
  <si>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</si>
  <si>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</si>
  <si>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</si>
  <si>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</si>
  <si>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</si>
  <si>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</si>
  <si>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</si>
  <si>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</si>
  <si>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</si>
  <si>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</si>
  <si>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</si>
  <si>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</si>
  <si>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</si>
  <si>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</si>
  <si>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</si>
  <si>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</si>
  <si>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</si>
  <si>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</si>
  <si>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</si>
  <si>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</si>
  <si>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</si>
  <si>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</si>
  <si>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</si>
  <si>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</si>
  <si>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</si>
  <si>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</si>
  <si>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</si>
  <si>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</si>
  <si>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</si>
  <si>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</si>
  <si>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</si>
  <si>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</si>
  <si>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</si>
  <si>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</si>
  <si>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</si>
  <si>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</si>
  <si>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</si>
  <si>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</si>
  <si>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</si>
  <si>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</si>
  <si>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</si>
  <si>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</si>
  <si>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</si>
  <si>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</si>
  <si>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</si>
  <si>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</si>
  <si>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</si>
  <si>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</si>
  <si>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</si>
  <si>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</si>
  <si>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</si>
  <si>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</si>
  <si>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</si>
  <si>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</si>
  <si>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</si>
  <si>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</si>
  <si>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</si>
  <si>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</si>
  <si>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</si>
  <si>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</si>
  <si>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</si>
  <si>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</si>
  <si>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</si>
  <si>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</si>
  <si>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</si>
  <si>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</si>
  <si>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</si>
  <si>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</si>
  <si>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</si>
  <si>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</si>
  <si>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</si>
  <si>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</si>
  <si>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</si>
  <si>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</si>
  <si>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</si>
  <si>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</si>
  <si>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</si>
  <si>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</si>
  <si>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</si>
  <si>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</si>
  <si>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</si>
  <si>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</si>
  <si>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</si>
  <si>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</si>
  <si>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</si>
  <si>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</si>
  <si>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</si>
  <si>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</si>
  <si>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</si>
  <si>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</si>
  <si>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</si>
  <si>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</si>
  <si>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</si>
  <si>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</si>
  <si>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</si>
  <si>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</si>
  <si>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</si>
  <si>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</si>
  <si>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</si>
  <si>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</si>
  <si>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</si>
  <si>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</si>
  <si>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</si>
  <si>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</si>
  <si>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</si>
  <si>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</si>
  <si>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</si>
  <si>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</si>
  <si>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</si>
  <si>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</si>
  <si>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</si>
  <si>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</si>
  <si>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</si>
  <si>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</si>
  <si>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</si>
  <si>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</si>
  <si>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</si>
  <si>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</si>
  <si>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</si>
  <si>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</si>
  <si>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</si>
  <si>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</si>
  <si>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</si>
  <si>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</si>
  <si>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</si>
  <si>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</si>
  <si>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</si>
  <si>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</si>
  <si>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</si>
  <si>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</si>
  <si>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</si>
  <si>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</si>
  <si>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</si>
  <si>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</si>
  <si>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</si>
  <si>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</si>
  <si>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</si>
  <si>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</si>
  <si>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</si>
  <si>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</si>
  <si>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</si>
  <si>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</si>
  <si>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</si>
  <si>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</si>
  <si>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</si>
  <si>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</si>
  <si>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</si>
  <si>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</si>
  <si>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</si>
  <si>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</si>
  <si>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</si>
  <si>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</si>
  <si>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</si>
  <si>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</si>
  <si>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</si>
  <si>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</si>
  <si>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</si>
  <si>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</si>
  <si>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</si>
  <si>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</si>
  <si>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</si>
  <si>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</si>
  <si>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</si>
  <si>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</si>
  <si>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</si>
  <si>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</si>
  <si>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</si>
  <si>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</si>
  <si>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</si>
  <si>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</si>
  <si>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</si>
  <si>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</si>
  <si>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</si>
  <si>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</si>
  <si>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</si>
  <si>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</si>
  <si>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</si>
  <si>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</si>
  <si>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</si>
  <si>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</si>
  <si>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</si>
  <si>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</si>
  <si>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</si>
  <si>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</si>
  <si>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</si>
  <si>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</si>
  <si>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</si>
  <si>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</si>
  <si>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</si>
  <si>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</si>
  <si>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</si>
  <si>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</si>
  <si>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</si>
  <si>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</si>
  <si>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</si>
  <si>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</si>
  <si>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</si>
  <si>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</si>
  <si>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</si>
  <si>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</si>
  <si>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</si>
  <si>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</si>
  <si>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</si>
  <si>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</si>
  <si>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</si>
  <si>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</si>
  <si>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</si>
  <si>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</si>
  <si>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</si>
  <si>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</si>
  <si>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</si>
  <si>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</si>
  <si>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</si>
  <si>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</si>
  <si>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</si>
  <si>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</si>
  <si>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</si>
  <si>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</si>
  <si>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</si>
  <si>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</si>
  <si>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</si>
  <si>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</si>
  <si>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</si>
  <si>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</si>
  <si>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</si>
  <si>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</si>
  <si>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</si>
  <si>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</si>
  <si>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</si>
  <si>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</si>
  <si>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</si>
  <si>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</si>
  <si>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</si>
  <si>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</si>
  <si>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</si>
  <si>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</si>
  <si>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</si>
  <si>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</si>
  <si>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</si>
  <si>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</si>
  <si>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</si>
  <si>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</si>
  <si>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</si>
  <si>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</si>
  <si>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</si>
  <si>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</si>
  <si>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</si>
  <si>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</si>
  <si>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</si>
  <si>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</si>
  <si>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</si>
  <si>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</si>
  <si>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</si>
  <si>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</si>
  <si>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</si>
  <si>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</si>
  <si>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</si>
  <si>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</si>
  <si>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</si>
  <si>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</si>
  <si>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</si>
  <si>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</si>
  <si>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</si>
  <si>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</si>
  <si>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</si>
  <si>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</si>
  <si>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</si>
  <si>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</si>
  <si>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</si>
  <si>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</si>
  <si>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</si>
  <si>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</si>
  <si>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</si>
  <si>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</si>
  <si>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</si>
  <si>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</si>
  <si>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</si>
  <si>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</si>
  <si>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</si>
  <si>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</si>
  <si>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</si>
  <si>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</si>
  <si>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</si>
  <si>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</si>
  <si>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</si>
  <si>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</si>
  <si>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</si>
  <si>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</si>
  <si>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</si>
  <si>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</si>
  <si>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</si>
  <si>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</si>
  <si>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</si>
  <si>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</si>
  <si>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</si>
  <si>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</si>
  <si>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</si>
  <si>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</si>
  <si>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</si>
  <si>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</si>
  <si>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</si>
  <si>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</si>
  <si>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</si>
  <si>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</si>
  <si>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</si>
  <si>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</si>
  <si>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</si>
  <si>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</si>
  <si>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</si>
  <si>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</si>
  <si>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</si>
  <si>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</si>
  <si>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</si>
  <si>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</si>
  <si>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</si>
  <si>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</si>
  <si>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</si>
  <si>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</si>
  <si>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</si>
  <si>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</si>
  <si>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</si>
  <si>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</si>
  <si>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</si>
  <si>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</si>
  <si>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</si>
  <si>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</si>
  <si>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</si>
  <si>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</si>
  <si>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</si>
  <si>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</si>
  <si>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</si>
  <si>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</si>
  <si>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</si>
  <si>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</si>
  <si>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</si>
  <si>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</si>
  <si>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</si>
  <si>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</si>
  <si>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</si>
  <si>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</si>
  <si>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</si>
  <si>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</si>
  <si>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</si>
  <si>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</si>
  <si>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</si>
  <si>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</si>
  <si>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</si>
  <si>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</si>
  <si>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</si>
  <si>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</si>
  <si>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</si>
  <si>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</si>
  <si>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</si>
  <si>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</si>
  <si>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</si>
  <si>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</si>
  <si>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</si>
  <si>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</si>
  <si>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</si>
  <si>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</si>
  <si>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</si>
  <si>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</si>
  <si>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</si>
  <si>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</si>
  <si>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</si>
  <si>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</si>
  <si>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</si>
  <si>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</si>
  <si>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</si>
  <si>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</si>
  <si>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</si>
  <si>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</si>
  <si>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</si>
  <si>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</si>
  <si>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</si>
  <si>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</si>
  <si>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</si>
  <si>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</si>
  <si>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</si>
  <si>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</si>
  <si>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</si>
  <si>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</si>
  <si>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</si>
  <si>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</si>
  <si>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</si>
  <si>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</si>
  <si>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</si>
  <si>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</si>
  <si>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</si>
  <si>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</si>
  <si>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</si>
  <si>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</si>
  <si>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</si>
  <si>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</si>
  <si>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</si>
  <si>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</si>
  <si>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</si>
  <si>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</si>
  <si>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</si>
  <si>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</si>
  <si>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</si>
  <si>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</si>
  <si>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</si>
  <si>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</si>
  <si>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</si>
  <si>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</si>
  <si>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</si>
  <si>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</si>
  <si>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</si>
  <si>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</si>
  <si>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</si>
  <si>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</si>
  <si>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</si>
  <si>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</si>
  <si>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</si>
  <si>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</si>
  <si>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</si>
  <si>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</si>
  <si>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</si>
  <si>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</si>
  <si>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</si>
  <si>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</si>
  <si>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</si>
  <si>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</si>
  <si>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</si>
  <si>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</si>
  <si>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</si>
  <si>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</si>
  <si>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</si>
  <si>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</si>
  <si>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</si>
  <si>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</si>
  <si>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</si>
  <si>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</si>
  <si>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</si>
  <si>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</si>
  <si>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</si>
  <si>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</si>
  <si>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</si>
  <si>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</si>
  <si>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</si>
  <si>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</si>
  <si>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</si>
  <si>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</si>
  <si>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</si>
  <si>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</si>
  <si>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</si>
  <si>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</si>
  <si>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</si>
  <si>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</si>
  <si>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</si>
  <si>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</si>
  <si>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</si>
  <si>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</si>
  <si>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</si>
  <si>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</si>
  <si>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</si>
  <si>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</si>
  <si>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</si>
  <si>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</si>
  <si>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</si>
  <si>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</si>
  <si>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</si>
  <si>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</si>
  <si>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</si>
  <si>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</si>
  <si>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</si>
  <si>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</si>
  <si>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</si>
  <si>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</si>
  <si>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</si>
  <si>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</si>
  <si>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</si>
  <si>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</si>
  <si>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</si>
  <si>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</si>
  <si>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</si>
  <si>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</si>
  <si>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</si>
  <si>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</si>
  <si>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</si>
  <si>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</si>
  <si>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</si>
  <si>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</si>
  <si>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</si>
  <si>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</si>
  <si>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</si>
  <si>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</si>
  <si>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</si>
  <si>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</si>
  <si>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</si>
  <si>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</si>
  <si>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</si>
  <si>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</si>
  <si>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</si>
  <si>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</si>
  <si>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</si>
  <si>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</si>
  <si>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</si>
  <si>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</si>
  <si>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</si>
  <si>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</si>
  <si>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</si>
  <si>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</si>
  <si>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</si>
  <si>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</si>
  <si>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</si>
  <si>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</si>
  <si>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</si>
  <si>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</si>
  <si>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</si>
  <si>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</si>
  <si>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</si>
  <si>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</si>
  <si>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</si>
  <si>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</si>
  <si>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</si>
  <si>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</si>
  <si>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</si>
  <si>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</si>
  <si>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</si>
  <si>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</si>
  <si>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</si>
  <si>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</si>
  <si>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</si>
  <si>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</si>
  <si>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</si>
  <si>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</si>
  <si>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</si>
  <si>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</si>
  <si>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</si>
  <si>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</si>
  <si>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</si>
  <si>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</si>
  <si>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</si>
  <si>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</si>
  <si>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</si>
  <si>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</si>
  <si>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</si>
  <si>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</si>
  <si>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</si>
  <si>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</si>
  <si>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</si>
  <si>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</si>
  <si>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</si>
  <si>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</si>
  <si>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</si>
  <si>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</si>
  <si>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</si>
  <si>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</si>
  <si>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</si>
  <si>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</si>
  <si>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</si>
  <si>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</si>
  <si>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</si>
  <si>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</si>
  <si>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</si>
  <si>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</si>
  <si>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</si>
  <si>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</si>
  <si>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</si>
  <si>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</si>
  <si>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</si>
  <si>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</si>
  <si>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</si>
  <si>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</si>
  <si>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</si>
  <si>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</si>
  <si>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</si>
  <si>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</si>
  <si>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</si>
  <si>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</si>
  <si>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</si>
  <si>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</si>
  <si>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</si>
  <si>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</si>
  <si>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</si>
  <si>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</si>
  <si>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</si>
  <si>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</si>
  <si>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</si>
  <si>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</si>
  <si>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</si>
  <si>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</si>
  <si>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</si>
  <si>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</si>
  <si>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</si>
  <si>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</si>
  <si>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</si>
  <si>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</si>
  <si>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</si>
  <si>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</si>
  <si>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</si>
  <si>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</si>
  <si>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</si>
  <si>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</si>
  <si>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</si>
  <si>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</si>
  <si>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</si>
  <si>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</si>
  <si>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</si>
  <si>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</si>
  <si>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</si>
  <si>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</si>
  <si>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</si>
  <si>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</si>
  <si>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</si>
  <si>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</si>
  <si>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</si>
  <si>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</si>
  <si>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</si>
  <si>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</si>
  <si>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</si>
  <si>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</si>
  <si>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</si>
  <si>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</si>
  <si>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</si>
  <si>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</si>
  <si>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</si>
  <si>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</si>
  <si>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</si>
  <si>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</si>
  <si>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</si>
  <si>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</si>
  <si>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</si>
  <si>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</si>
  <si>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</si>
  <si>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</si>
  <si>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</si>
  <si>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</si>
  <si>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</si>
  <si>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</si>
  <si>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</si>
  <si>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</si>
  <si>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</si>
  <si>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</si>
  <si>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</si>
  <si>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</si>
  <si>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</si>
  <si>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</si>
  <si>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</si>
  <si>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</si>
  <si>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</si>
  <si>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</si>
  <si>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</si>
  <si>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</si>
  <si>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</si>
  <si>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</si>
  <si>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</si>
  <si>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</si>
  <si>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</si>
  <si>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</si>
  <si>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</si>
  <si>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</si>
  <si>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</si>
  <si>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</si>
  <si>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</si>
  <si>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</si>
  <si>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</si>
  <si>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</si>
  <si>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</si>
  <si>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</si>
  <si>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</si>
  <si>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</si>
  <si>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</si>
  <si>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</si>
  <si>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</si>
  <si>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</si>
  <si>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</si>
  <si>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</si>
  <si>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</si>
  <si>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</si>
  <si>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</si>
  <si>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</si>
  <si>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</si>
  <si>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</si>
  <si>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</si>
  <si>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</si>
  <si>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</si>
  <si>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</si>
  <si>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</si>
  <si>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</si>
  <si>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</si>
  <si>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</si>
  <si>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</si>
  <si>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</si>
  <si>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</si>
  <si>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</si>
  <si>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</si>
  <si>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</si>
  <si>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</si>
  <si>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</si>
  <si>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</si>
  <si>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</si>
  <si>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</si>
  <si>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</si>
  <si>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</si>
  <si>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</si>
  <si>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</si>
  <si>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</si>
  <si>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</si>
  <si>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</si>
  <si>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</si>
  <si>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</si>
  <si>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</si>
  <si>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</si>
  <si>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</si>
  <si>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</si>
  <si>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</si>
  <si>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</si>
  <si>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</si>
  <si>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</si>
  <si>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</si>
  <si>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</si>
  <si>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</si>
  <si>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</si>
  <si>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</si>
  <si>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</si>
  <si>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</si>
  <si>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</si>
  <si>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</si>
  <si>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</si>
  <si>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</si>
  <si>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</si>
  <si>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</si>
  <si>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</si>
  <si>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</si>
  <si>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</si>
  <si>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</si>
  <si>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</si>
  <si>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</si>
  <si>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</si>
  <si>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</si>
  <si>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</si>
  <si>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</si>
  <si>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</si>
  <si>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</si>
  <si>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</si>
  <si>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</si>
  <si>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</si>
  <si>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</si>
  <si>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</si>
  <si>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</si>
  <si>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</si>
  <si>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</si>
  <si>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</si>
  <si>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</si>
  <si>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</si>
  <si>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</si>
  <si>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</si>
  <si>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</si>
  <si>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</si>
  <si>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</si>
  <si>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</si>
  <si>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</si>
  <si>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</si>
  <si>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</si>
  <si>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</si>
  <si>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</si>
  <si>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</si>
  <si>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</si>
  <si>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</si>
  <si>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</si>
  <si>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</si>
  <si>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</si>
  <si>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</si>
  <si>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</si>
  <si>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</si>
  <si>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</si>
  <si>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</si>
  <si>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</si>
  <si>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</si>
  <si>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</si>
  <si>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</si>
  <si>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</si>
  <si>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</si>
  <si>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</si>
  <si>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</si>
  <si>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</si>
  <si>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</si>
  <si>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</si>
  <si>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</si>
  <si>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</si>
  <si>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</si>
  <si>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</si>
  <si>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</si>
  <si>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</si>
  <si>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</si>
  <si>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</si>
  <si>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</si>
  <si>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</si>
  <si>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</si>
  <si>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</si>
  <si>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</si>
  <si>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</si>
  <si>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</si>
  <si>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</si>
  <si>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</si>
  <si>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</si>
  <si>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</si>
  <si>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</si>
  <si>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</si>
  <si>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</si>
  <si>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</si>
  <si>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</si>
  <si>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</si>
  <si>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</si>
  <si>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</si>
  <si>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</si>
  <si>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</si>
  <si>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</si>
  <si>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</si>
  <si>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</si>
  <si>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</si>
  <si>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</si>
  <si>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</si>
  <si>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</si>
  <si>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</si>
  <si>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</si>
  <si>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</si>
  <si>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</si>
  <si>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</si>
  <si>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</si>
  <si>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</si>
  <si>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</si>
  <si>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</si>
  <si>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</si>
  <si>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</si>
  <si>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</si>
  <si>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</si>
  <si>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</si>
  <si>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</si>
  <si>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</si>
  <si>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</si>
  <si>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</si>
  <si>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</si>
  <si>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</si>
  <si>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</si>
  <si>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</si>
  <si>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</si>
  <si>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</si>
  <si>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</si>
  <si>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</si>
  <si>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</si>
  <si>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</si>
  <si>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</si>
  <si>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</si>
  <si>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</si>
  <si>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</si>
  <si>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</si>
  <si>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</si>
  <si>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</si>
  <si>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</si>
  <si>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</si>
  <si>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</si>
  <si>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</si>
  <si>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</si>
  <si>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</si>
  <si>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</si>
  <si>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</si>
  <si>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</si>
  <si>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</si>
  <si>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</si>
  <si>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</si>
  <si>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</si>
  <si>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</si>
  <si>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</si>
  <si>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</si>
  <si>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</si>
  <si>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</si>
  <si>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</si>
  <si>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</si>
  <si>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</si>
  <si>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</si>
  <si>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</si>
  <si>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</si>
  <si>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</si>
  <si>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</si>
  <si>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</si>
  <si>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</si>
  <si>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</si>
  <si>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</si>
  <si>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</si>
  <si>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</si>
  <si>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</si>
  <si>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</si>
  <si>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</si>
  <si>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</si>
  <si>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</si>
  <si>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</si>
  <si>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</si>
  <si>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</si>
  <si>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</si>
  <si>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</si>
  <si>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</si>
  <si>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</si>
  <si>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</si>
  <si>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</si>
  <si>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</si>
  <si>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</si>
  <si>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</si>
  <si>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</si>
  <si>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</si>
  <si>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</si>
  <si>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</si>
  <si>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</si>
  <si>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</si>
  <si>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</si>
  <si>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</si>
  <si>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</si>
  <si>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</si>
  <si>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</si>
  <si>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</si>
  <si>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</si>
  <si>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</si>
  <si>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</si>
  <si>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</si>
  <si>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</si>
  <si>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</si>
  <si>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</si>
  <si>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</si>
  <si>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</si>
  <si>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</si>
  <si>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</si>
  <si>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</si>
  <si>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</si>
  <si>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</si>
  <si>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</si>
  <si>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</si>
  <si>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</si>
  <si>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</si>
  <si>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</si>
  <si>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</si>
  <si>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</si>
  <si>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</si>
  <si>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</si>
  <si>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</si>
  <si>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</si>
  <si>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</si>
  <si>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</si>
  <si>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</si>
  <si>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</si>
  <si>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</si>
  <si>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</si>
  <si>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</si>
  <si>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</si>
  <si>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</si>
  <si>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</si>
  <si>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</si>
  <si>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</si>
  <si>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</si>
  <si>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</si>
  <si>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</si>
  <si>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</si>
  <si>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</si>
  <si>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</si>
  <si>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</si>
  <si>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</si>
  <si>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</si>
  <si>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</si>
  <si>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</si>
  <si>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</si>
  <si>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</si>
  <si>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</si>
  <si>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</si>
  <si>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</si>
  <si>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</si>
  <si>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</si>
  <si>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</si>
  <si>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</si>
  <si>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</si>
  <si>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</si>
  <si>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</si>
  <si>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</si>
  <si>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</si>
  <si>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</si>
  <si>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</si>
  <si>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</si>
  <si>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</si>
  <si>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</si>
  <si>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</si>
  <si>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</si>
  <si>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</si>
  <si>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</si>
  <si>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</si>
  <si>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</si>
  <si>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</si>
  <si>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</si>
  <si>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</si>
  <si>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</si>
  <si>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</si>
  <si>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</si>
  <si>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</si>
  <si>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</si>
  <si>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</si>
  <si>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</si>
  <si>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</si>
  <si>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</si>
  <si>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</si>
  <si>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</si>
  <si>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</si>
  <si>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</si>
  <si>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</si>
  <si>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</si>
  <si>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</si>
  <si>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</si>
  <si>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</si>
  <si>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</si>
  <si>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</si>
  <si>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</si>
  <si>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</si>
  <si>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</si>
  <si>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</si>
  <si>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</si>
  <si>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</si>
  <si>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</si>
  <si>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</si>
  <si>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</si>
  <si>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</si>
  <si>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</si>
  <si>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</si>
  <si>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</si>
  <si>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</si>
  <si>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</si>
  <si>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</si>
  <si>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</si>
  <si>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</si>
  <si>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</si>
  <si>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</si>
  <si>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</si>
  <si>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</si>
  <si>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</si>
  <si>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</si>
  <si>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</si>
  <si>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</si>
  <si>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</si>
  <si>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</si>
  <si>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</si>
  <si>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</si>
  <si>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</si>
  <si>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</si>
  <si>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</si>
  <si>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</si>
  <si>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</si>
  <si>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</si>
  <si>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</si>
  <si>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</si>
  <si>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</si>
  <si>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</si>
  <si>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</si>
  <si>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</si>
  <si>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</si>
  <si>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</si>
  <si>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</si>
  <si>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</si>
  <si>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</si>
  <si>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</si>
  <si>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</si>
  <si>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</si>
  <si>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</si>
  <si>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</si>
  <si>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</si>
  <si>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</si>
  <si>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</si>
  <si>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</si>
  <si>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</si>
  <si>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</si>
  <si>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</si>
  <si>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</si>
  <si>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</si>
  <si>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</si>
  <si>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</si>
  <si>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</si>
  <si>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</si>
  <si>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</si>
  <si>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</si>
  <si>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</si>
  <si>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</si>
  <si>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</si>
  <si>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</si>
  <si>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</si>
  <si>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</si>
  <si>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</si>
  <si>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</si>
  <si>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</si>
  <si>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</si>
  <si>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</si>
  <si>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</si>
  <si>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</si>
  <si>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</si>
  <si>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</si>
  <si>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</si>
  <si>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</si>
  <si>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</si>
  <si>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</si>
  <si>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</si>
  <si>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</si>
  <si>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</si>
  <si>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</si>
  <si>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</si>
  <si>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</si>
  <si>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</si>
  <si>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</si>
  <si>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</si>
  <si>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</si>
  <si>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</si>
  <si>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</si>
  <si>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</si>
  <si>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</si>
  <si>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</si>
  <si>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</si>
  <si>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</si>
  <si>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</si>
  <si>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</si>
  <si>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</si>
  <si>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</si>
  <si>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</si>
  <si>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</si>
  <si>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</si>
  <si>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</si>
  <si>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</si>
  <si>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</si>
  <si>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</si>
  <si>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</si>
  <si>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</si>
  <si>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</si>
  <si>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</si>
  <si>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</si>
  <si>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</si>
  <si>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</si>
  <si>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</si>
  <si>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</si>
  <si>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</si>
  <si>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</si>
  <si>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</si>
  <si>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</si>
  <si>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</si>
  <si>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</si>
  <si>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</si>
  <si>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</si>
  <si>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</si>
  <si>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</si>
  <si>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</si>
  <si>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</si>
  <si>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</si>
  <si>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</si>
  <si>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</si>
  <si>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</si>
  <si>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</si>
  <si>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</si>
  <si>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</si>
  <si>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</si>
  <si>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</si>
  <si>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</si>
  <si>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</si>
  <si>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</si>
  <si>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</si>
  <si>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</si>
  <si>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</si>
  <si>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</si>
  <si>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</si>
  <si>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</si>
  <si>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</si>
  <si>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</si>
  <si>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</si>
  <si>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</si>
  <si>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</si>
  <si>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</si>
  <si>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</si>
  <si>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</si>
  <si>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</si>
  <si>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</si>
  <si>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</si>
  <si>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</si>
  <si>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</si>
  <si>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</si>
  <si>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</si>
  <si>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</si>
  <si>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</si>
  <si>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</si>
  <si>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</si>
  <si>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</si>
  <si>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</si>
  <si>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</si>
  <si>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</si>
  <si>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</si>
  <si>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</si>
  <si>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</si>
  <si>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</si>
  <si>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</si>
  <si>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</si>
  <si>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</si>
  <si>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</si>
  <si>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</si>
  <si>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</si>
  <si>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</si>
  <si>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</si>
  <si>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</si>
  <si>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</si>
  <si>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</si>
  <si>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</si>
  <si>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</si>
  <si>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</si>
  <si>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</si>
  <si>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</si>
  <si>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</si>
  <si>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</si>
  <si>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</si>
  <si>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</si>
  <si>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</si>
  <si>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</si>
  <si>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</si>
  <si>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</si>
  <si>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</si>
  <si>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</si>
  <si>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</si>
  <si>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</si>
  <si>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</si>
  <si>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</si>
  <si>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</si>
  <si>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</si>
  <si>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</si>
  <si>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</si>
  <si>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</si>
  <si>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</si>
  <si>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</si>
  <si>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</si>
  <si>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</si>
  <si>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</si>
  <si>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</si>
  <si>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</si>
  <si>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</si>
  <si>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</si>
  <si>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</si>
  <si>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</si>
  <si>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</si>
  <si>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</si>
  <si>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</si>
  <si>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</si>
  <si>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</si>
  <si>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</si>
  <si>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</si>
  <si>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</si>
  <si>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</si>
  <si>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</si>
  <si>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</si>
  <si>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</si>
  <si>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</si>
  <si>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</si>
  <si>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</si>
  <si>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</si>
  <si>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</si>
  <si>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</si>
  <si>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</si>
  <si>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</si>
  <si>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</si>
  <si>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</si>
  <si>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</si>
  <si>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</si>
  <si>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</si>
  <si>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</si>
  <si>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</si>
  <si>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</si>
  <si>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</si>
  <si>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</si>
  <si>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</si>
  <si>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</si>
  <si>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</si>
  <si>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</si>
  <si>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</si>
  <si>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</si>
  <si>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</si>
  <si>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</si>
  <si>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</si>
  <si>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</si>
  <si>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</si>
  <si>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</si>
  <si>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</si>
  <si>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</si>
  <si>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</si>
  <si>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</si>
  <si>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</si>
  <si>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</si>
  <si>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</si>
  <si>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</si>
  <si>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</si>
  <si>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</si>
  <si>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</si>
  <si>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</si>
  <si>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</si>
  <si>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</si>
  <si>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</si>
  <si>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</si>
  <si>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</si>
  <si>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</si>
  <si>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</si>
  <si>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</si>
  <si>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</si>
  <si>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</si>
  <si>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</si>
  <si>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</si>
  <si>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</si>
  <si>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</si>
  <si>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</si>
  <si>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</si>
  <si>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</si>
  <si>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</si>
  <si>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</si>
  <si>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</si>
  <si>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</si>
  <si>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</si>
  <si>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</si>
  <si>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</si>
  <si>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</si>
  <si>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</si>
  <si>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</si>
  <si>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</si>
  <si>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</si>
  <si>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</si>
  <si>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</si>
  <si>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</si>
  <si>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</si>
  <si>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</si>
  <si>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</si>
  <si>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</si>
  <si>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</si>
  <si>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</si>
  <si>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</si>
  <si>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</si>
  <si>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</si>
  <si>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</si>
  <si>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</si>
  <si>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</si>
  <si>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</si>
  <si>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</si>
  <si>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</si>
  <si>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</si>
  <si>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</si>
  <si>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</si>
  <si>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</si>
  <si>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</si>
  <si>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</si>
  <si>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</si>
  <si>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</si>
  <si>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</si>
  <si>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</si>
  <si>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</si>
  <si>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</si>
  <si>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</si>
  <si>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</si>
  <si>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</si>
  <si>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</si>
  <si>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</si>
  <si>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</si>
  <si>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</si>
  <si>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</si>
  <si>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</si>
  <si>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</si>
  <si>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</si>
  <si>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</si>
  <si>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</si>
  <si>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</si>
  <si>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</si>
  <si>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</si>
  <si>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</si>
  <si>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</si>
  <si>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</si>
  <si>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</si>
  <si>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</si>
  <si>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</si>
  <si>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</si>
  <si>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</si>
  <si>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</si>
  <si>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</si>
  <si>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</si>
  <si>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</si>
  <si>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</si>
  <si>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</si>
  <si>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</si>
  <si>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</si>
  <si>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</si>
  <si>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</si>
  <si>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</si>
  <si>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</si>
  <si>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</si>
  <si>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</si>
  <si>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</si>
  <si>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</si>
  <si>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</si>
  <si>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</si>
  <si>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</si>
  <si>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</si>
  <si>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</si>
  <si>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</si>
  <si>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</si>
  <si>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</si>
  <si>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</si>
  <si>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</si>
  <si>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</si>
  <si>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</si>
  <si>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</si>
  <si>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</si>
  <si>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</si>
  <si>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</si>
  <si>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</si>
  <si>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</si>
  <si>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</si>
  <si>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</si>
  <si>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</si>
  <si>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</si>
  <si>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</si>
  <si>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</si>
  <si>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</si>
  <si>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</si>
  <si>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</si>
  <si>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</si>
  <si>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</si>
  <si>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</si>
  <si>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</si>
  <si>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</si>
  <si>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</si>
  <si>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</si>
  <si>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</si>
  <si>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</si>
  <si>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</si>
  <si>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</si>
  <si>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</si>
  <si>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</si>
  <si>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</si>
  <si>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</si>
  <si>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</si>
  <si>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</si>
  <si>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</si>
  <si>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</si>
  <si>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</si>
  <si>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</si>
  <si>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</si>
  <si>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</si>
  <si>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</si>
  <si>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</si>
  <si>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</si>
  <si>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</si>
  <si>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</si>
  <si>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</si>
  <si>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</si>
  <si>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</si>
  <si>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</si>
  <si>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</si>
  <si>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</si>
  <si>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</si>
  <si>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</si>
  <si>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</si>
  <si>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</si>
  <si>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</si>
  <si>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</si>
  <si>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</si>
  <si>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</si>
  <si>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</si>
  <si>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</si>
  <si>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</si>
  <si>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</si>
  <si>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</si>
  <si>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</si>
  <si>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</si>
  <si>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</si>
  <si>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</si>
  <si>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</si>
  <si>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</si>
  <si>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</si>
  <si>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</si>
  <si>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</si>
  <si>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</si>
  <si>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</si>
  <si>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</si>
  <si>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</si>
  <si>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</si>
  <si>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</si>
  <si>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</si>
  <si>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</si>
  <si>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</si>
  <si>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</si>
  <si>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</si>
  <si>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</si>
  <si>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</si>
  <si>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</si>
  <si>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</si>
  <si>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</si>
  <si>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</si>
  <si>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</si>
  <si>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</si>
  <si>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</si>
  <si>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</si>
  <si>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</si>
  <si>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</si>
  <si>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</si>
  <si>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</si>
  <si>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</si>
  <si>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</si>
  <si>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</si>
  <si>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</si>
  <si>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</si>
  <si>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</si>
  <si>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</si>
  <si>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</si>
  <si>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</si>
  <si>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</si>
  <si>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</si>
  <si>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</si>
  <si>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</si>
  <si>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</si>
  <si>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</si>
  <si>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</si>
  <si>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</si>
  <si>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</si>
  <si>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</si>
  <si>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</si>
  <si>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</si>
  <si>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</si>
  <si>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</si>
  <si>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</si>
  <si>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</si>
  <si>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</si>
  <si>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</si>
  <si>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</si>
  <si>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</si>
  <si>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</si>
  <si>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</si>
  <si>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</si>
  <si>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</si>
  <si>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</si>
  <si>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</si>
  <si>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</si>
  <si>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</si>
  <si>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</si>
  <si>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</si>
  <si>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</si>
  <si>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</si>
  <si>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</si>
  <si>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</si>
  <si>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</si>
  <si>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</si>
  <si>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</si>
  <si>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</si>
  <si>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</si>
  <si>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</si>
  <si>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</si>
  <si>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</si>
  <si>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</si>
  <si>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</si>
  <si>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</si>
  <si>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</si>
  <si>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</si>
  <si>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</si>
  <si>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</si>
  <si>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</si>
  <si>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</si>
  <si>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</si>
  <si>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</si>
  <si>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</si>
  <si>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</si>
  <si>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</si>
  <si>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</si>
  <si>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</si>
  <si>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</si>
  <si>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</si>
  <si>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</si>
  <si>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</si>
  <si>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</si>
  <si>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</si>
  <si>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</si>
  <si>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</si>
  <si>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</si>
  <si>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</si>
  <si>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</si>
  <si>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</si>
  <si>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</si>
  <si>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</si>
  <si>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</si>
  <si>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</si>
  <si>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</si>
  <si>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</si>
  <si>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</si>
  <si>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</si>
  <si>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</si>
  <si>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</si>
  <si>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</si>
  <si>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</si>
  <si>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</si>
  <si>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</si>
  <si>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</si>
  <si>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</si>
  <si>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</si>
  <si>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</si>
  <si>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</si>
  <si>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</si>
  <si>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</si>
  <si>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</si>
  <si>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</si>
  <si>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</si>
  <si>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</si>
  <si>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</si>
  <si>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</si>
  <si>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</si>
  <si>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</si>
  <si>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</si>
  <si>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</si>
  <si>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</si>
  <si>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</si>
  <si>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</si>
  <si>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</si>
  <si>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</si>
  <si>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</si>
  <si>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</si>
  <si>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</si>
  <si>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</si>
  <si>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</si>
  <si>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</si>
  <si>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</si>
  <si>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</si>
  <si>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</si>
  <si>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</si>
  <si>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</si>
  <si>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</si>
  <si>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</si>
  <si>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</si>
  <si>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</si>
  <si>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</si>
  <si>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</si>
  <si>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</si>
  <si>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</si>
  <si>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</si>
  <si>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</si>
  <si>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</si>
  <si>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</si>
  <si>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</si>
  <si>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</si>
  <si>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</si>
  <si>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</si>
  <si>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</si>
  <si>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</si>
  <si>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</si>
  <si>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</si>
  <si>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</si>
  <si>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</si>
  <si>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</si>
  <si>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</si>
  <si>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</si>
  <si>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</si>
  <si>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</si>
  <si>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</si>
  <si>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</si>
  <si>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</si>
  <si>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</si>
  <si>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</si>
  <si>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</si>
  <si>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</si>
  <si>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</si>
  <si>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</si>
  <si>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</si>
  <si>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</si>
  <si>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</si>
  <si>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</si>
  <si>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</si>
  <si>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</si>
  <si>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</si>
  <si>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</si>
  <si>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</si>
  <si>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</si>
  <si>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</si>
  <si>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</si>
  <si>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</si>
  <si>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</si>
  <si>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</si>
  <si>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</si>
  <si>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</si>
  <si>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</si>
  <si>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</si>
  <si>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</si>
  <si>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</si>
  <si>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</si>
  <si>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</si>
  <si>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</si>
  <si>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</si>
  <si>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</si>
  <si>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</si>
  <si>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</si>
  <si>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</si>
  <si>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</si>
  <si>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</si>
  <si>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</si>
  <si>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</si>
  <si>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</si>
  <si>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</si>
  <si>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</si>
  <si>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</si>
  <si>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</si>
  <si>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</si>
  <si>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</si>
  <si>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</si>
  <si>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</si>
  <si>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</si>
  <si>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</si>
  <si>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</si>
  <si>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</si>
  <si>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</si>
  <si>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</si>
  <si>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</si>
  <si>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</si>
  <si>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</si>
  <si>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</si>
  <si>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</si>
  <si>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</si>
  <si>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</si>
  <si>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</si>
  <si>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</si>
  <si>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</si>
  <si>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</si>
  <si>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</si>
  <si>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</si>
  <si>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</si>
  <si>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</si>
  <si>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</si>
  <si>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</si>
  <si>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</si>
  <si>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</si>
  <si>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</si>
  <si>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</si>
  <si>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</si>
  <si>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</si>
  <si>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</si>
  <si>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</si>
  <si>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</si>
  <si>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</si>
  <si>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</si>
  <si>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</si>
  <si>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</si>
  <si>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</si>
  <si>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</si>
  <si>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</si>
  <si>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</si>
  <si>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</si>
  <si>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</si>
  <si>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</si>
  <si>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</si>
  <si>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</si>
  <si>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</si>
  <si>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</si>
  <si>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</si>
  <si>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</si>
  <si>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</si>
  <si>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</si>
  <si>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</si>
  <si>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</si>
  <si>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</si>
  <si>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</si>
  <si>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</si>
  <si>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</si>
  <si>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</si>
  <si>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</si>
  <si>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</si>
  <si>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</si>
  <si>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</si>
  <si>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</si>
  <si>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</si>
  <si>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</si>
  <si>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</si>
  <si>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</si>
  <si>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</si>
  <si>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</si>
  <si>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</si>
  <si>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</si>
  <si>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</si>
  <si>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</si>
  <si>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</si>
  <si>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</si>
  <si>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</si>
  <si>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</si>
  <si>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</si>
  <si>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</si>
  <si>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</si>
  <si>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</si>
  <si>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</si>
  <si>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</si>
  <si>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</si>
  <si>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</si>
  <si>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</si>
  <si>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</si>
  <si>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</si>
  <si>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</si>
  <si>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</si>
  <si>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</si>
  <si>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</si>
  <si>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</si>
  <si>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</si>
  <si>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</si>
  <si>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</si>
  <si>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</si>
  <si>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</si>
  <si>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</si>
  <si>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</si>
  <si>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</si>
  <si>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</si>
  <si>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</si>
  <si>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</si>
  <si>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</si>
  <si>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</si>
  <si>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</si>
  <si>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</si>
  <si>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</si>
  <si>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</si>
  <si>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</si>
  <si>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</si>
  <si>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</si>
  <si>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</si>
  <si>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</si>
  <si>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</si>
  <si>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</si>
  <si>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</si>
  <si>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</si>
  <si>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</si>
  <si>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</si>
  <si>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</si>
  <si>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</si>
  <si>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</si>
  <si>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</si>
  <si>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</si>
  <si>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</si>
  <si>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</si>
  <si>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</si>
  <si>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</si>
  <si>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</si>
  <si>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</si>
  <si>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</si>
  <si>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</si>
  <si>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</si>
  <si>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</si>
  <si>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</si>
  <si>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</si>
  <si>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</si>
  <si>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</si>
  <si>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</si>
  <si>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</si>
  <si>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</si>
  <si>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</si>
  <si>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</si>
  <si>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</si>
  <si>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</si>
  <si>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</si>
  <si>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</si>
  <si>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</si>
  <si>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</si>
  <si>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</si>
  <si>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</si>
  <si>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</si>
  <si>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</si>
  <si>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</si>
  <si>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</si>
  <si>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</si>
  <si>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</si>
  <si>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</si>
  <si>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</si>
  <si>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</si>
  <si>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</si>
  <si>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</si>
  <si>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</si>
  <si>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</si>
  <si>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</si>
  <si>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</si>
  <si>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</si>
  <si>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</si>
  <si>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</si>
  <si>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</si>
  <si>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</si>
  <si>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</si>
  <si>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</si>
  <si>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</si>
  <si>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</si>
  <si>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</si>
  <si>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</si>
  <si>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</si>
  <si>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</si>
  <si>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</si>
  <si>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</si>
  <si>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</si>
  <si>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</si>
  <si>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</si>
  <si>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</si>
  <si>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</si>
  <si>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</si>
  <si>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</si>
  <si>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</si>
  <si>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</si>
  <si>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</si>
  <si>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</si>
  <si>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</si>
  <si>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</si>
  <si>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</si>
  <si>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</si>
  <si>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</si>
  <si>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</si>
  <si>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</si>
  <si>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</si>
  <si>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</si>
  <si>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</si>
  <si>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</si>
  <si>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</si>
  <si>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</si>
  <si>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</si>
  <si>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</si>
  <si>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</si>
  <si>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</si>
  <si>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</si>
  <si>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</si>
  <si>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</si>
  <si>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</si>
  <si>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</si>
  <si>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</si>
  <si>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</si>
  <si>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</si>
  <si>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</si>
  <si>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</si>
  <si>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</si>
  <si>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</si>
  <si>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</si>
  <si>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</si>
  <si>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</si>
  <si>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</si>
  <si>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</si>
  <si>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</si>
  <si>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</si>
  <si>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</si>
  <si>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</si>
  <si>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</si>
  <si>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</si>
  <si>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</si>
  <si>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</si>
  <si>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</si>
  <si>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</si>
  <si>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</si>
  <si>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</si>
  <si>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</si>
  <si>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</si>
  <si>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</si>
  <si>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</si>
  <si>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</si>
  <si>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</si>
  <si>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</si>
  <si>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</si>
  <si>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</si>
  <si>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</si>
  <si>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</si>
  <si>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</si>
  <si>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</si>
  <si>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</si>
  <si>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</si>
  <si>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</si>
  <si>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</si>
  <si>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</si>
  <si>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</si>
  <si>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</si>
  <si>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</si>
  <si>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</si>
  <si>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</si>
  <si>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</si>
  <si>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</si>
  <si>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</si>
  <si>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</si>
  <si>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</si>
  <si>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</si>
  <si>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</si>
  <si>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</si>
  <si>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</si>
  <si>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</si>
  <si>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</si>
  <si>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</si>
  <si>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</si>
  <si>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</si>
  <si>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</si>
  <si>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</si>
  <si>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</si>
  <si>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</si>
  <si>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</si>
  <si>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</si>
  <si>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</si>
  <si>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</si>
  <si>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</si>
  <si>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</si>
  <si>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</si>
  <si>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</si>
  <si>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</si>
  <si>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</si>
  <si>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</si>
  <si>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</si>
  <si>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</si>
  <si>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</si>
  <si>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</si>
  <si>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</si>
  <si>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</si>
  <si>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</si>
  <si>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</si>
  <si>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</si>
  <si>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</si>
  <si>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</si>
  <si>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</si>
  <si>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</si>
  <si>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</si>
  <si>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</si>
  <si>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</si>
  <si>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</si>
  <si>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</si>
  <si>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</si>
  <si>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</si>
  <si>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</si>
  <si>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</si>
  <si>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</si>
  <si>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</si>
  <si>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</si>
  <si>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</si>
  <si>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</si>
  <si>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</si>
  <si>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</si>
  <si>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</si>
  <si>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</si>
  <si>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</si>
  <si>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</si>
  <si>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</si>
  <si>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</si>
  <si>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</si>
  <si>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</si>
  <si>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</si>
  <si>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</si>
  <si>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</si>
  <si>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</si>
  <si>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</si>
  <si>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</si>
  <si>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</si>
  <si>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</si>
  <si>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</si>
  <si>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</si>
  <si>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</si>
  <si>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</si>
  <si>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</si>
  <si>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</si>
  <si>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</si>
  <si>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</si>
  <si>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</si>
  <si>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</si>
  <si>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</si>
  <si>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</si>
  <si>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</si>
  <si>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</si>
  <si>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</si>
  <si>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</si>
  <si>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</si>
  <si>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</si>
  <si>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</si>
  <si>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</si>
  <si>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</si>
  <si>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</si>
  <si>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</si>
  <si>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</si>
  <si>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</si>
  <si>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</si>
  <si>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</si>
  <si>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</si>
  <si>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</si>
  <si>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</si>
  <si>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</si>
  <si>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</si>
  <si>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</si>
  <si>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</si>
  <si>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</si>
  <si>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</si>
  <si>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</si>
  <si>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</si>
  <si>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</si>
  <si>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</si>
  <si>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</si>
  <si>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</si>
  <si>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</si>
  <si>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</si>
  <si>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</si>
  <si>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</si>
  <si>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</si>
  <si>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</si>
  <si>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</si>
  <si>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</si>
  <si>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</si>
  <si>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</si>
  <si>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</si>
  <si>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</si>
  <si>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</si>
  <si>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</si>
  <si>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</si>
  <si>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</si>
  <si>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</si>
  <si>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</si>
  <si>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</si>
  <si>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</si>
  <si>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</si>
  <si>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</si>
  <si>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</si>
  <si>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</si>
  <si>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</si>
  <si>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</si>
  <si>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</si>
  <si>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</si>
  <si>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</si>
  <si>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</si>
  <si>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</si>
  <si>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</si>
  <si>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</si>
  <si>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</si>
  <si>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</si>
  <si>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</si>
  <si>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</si>
  <si>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</si>
  <si>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</si>
  <si>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</si>
  <si>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</si>
  <si>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</si>
  <si>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</si>
  <si>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</si>
  <si>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</si>
  <si>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</si>
  <si>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</si>
  <si>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</si>
  <si>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</si>
  <si>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</si>
  <si>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</si>
  <si>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</si>
  <si>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</si>
  <si>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</si>
  <si>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</si>
  <si>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</si>
  <si>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</si>
  <si>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</si>
  <si>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</si>
  <si>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</si>
  <si>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</si>
  <si>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</si>
  <si>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</si>
  <si>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</si>
  <si>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</si>
  <si>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</si>
  <si>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</si>
  <si>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</si>
  <si>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</si>
  <si>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</si>
  <si>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</si>
  <si>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</si>
  <si>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</si>
  <si>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</si>
  <si>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</si>
  <si>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</si>
  <si>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</si>
  <si>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</si>
  <si>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</si>
  <si>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</si>
  <si>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</si>
  <si>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</si>
  <si>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</si>
  <si>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</si>
  <si>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</si>
  <si>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</si>
  <si>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</si>
  <si>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</si>
  <si>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</si>
  <si>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</si>
  <si>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</si>
  <si>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</si>
  <si>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</si>
  <si>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</si>
  <si>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</si>
  <si>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</si>
  <si>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</si>
  <si>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</si>
  <si>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</si>
  <si>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</si>
  <si>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</si>
  <si>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</si>
  <si>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</si>
  <si>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</si>
  <si>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</si>
  <si>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</si>
  <si>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</si>
  <si>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</si>
  <si>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</si>
  <si>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</si>
  <si>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</si>
  <si>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</si>
  <si>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</si>
  <si>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</si>
  <si>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</si>
  <si>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</si>
  <si>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</si>
  <si>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</si>
  <si>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</si>
  <si>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</si>
  <si>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</si>
  <si>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</si>
  <si>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</si>
  <si>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</si>
  <si>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</si>
  <si>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</si>
  <si>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</si>
  <si>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</si>
  <si>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</si>
  <si>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</si>
  <si>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</si>
  <si>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</si>
  <si>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</si>
  <si>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</si>
  <si>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</si>
  <si>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</si>
  <si>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</si>
  <si>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</si>
  <si>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</si>
  <si>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</si>
  <si>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</si>
  <si>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</si>
  <si>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</si>
  <si>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</si>
  <si>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</si>
  <si>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</si>
  <si>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</si>
  <si>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</si>
  <si>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</si>
  <si>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</si>
  <si>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</si>
  <si>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</si>
  <si>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</si>
  <si>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</si>
  <si>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</si>
  <si>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</si>
  <si>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</si>
  <si>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</si>
  <si>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</si>
  <si>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</si>
  <si>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</si>
  <si>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</si>
  <si>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</si>
  <si>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</si>
  <si>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</si>
  <si>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</si>
  <si>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</si>
  <si>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</si>
  <si>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</si>
  <si>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</si>
  <si>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</si>
  <si>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</si>
  <si>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</si>
  <si>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</si>
  <si>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</si>
  <si>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</si>
  <si>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</si>
  <si>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</si>
  <si>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</si>
  <si>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</si>
  <si>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</si>
  <si>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</si>
  <si>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</si>
  <si>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</si>
  <si>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</si>
  <si>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</si>
  <si>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</si>
  <si>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</si>
  <si>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</si>
  <si>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</si>
  <si>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</si>
  <si>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</si>
  <si>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</si>
  <si>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</si>
  <si>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</si>
  <si>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</si>
  <si>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</si>
  <si>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</si>
  <si>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</si>
  <si>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</si>
  <si>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</si>
  <si>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</si>
  <si>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</si>
  <si>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</si>
  <si>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</si>
  <si>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</si>
  <si>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</si>
  <si>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</si>
  <si>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</si>
  <si>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</si>
  <si>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</si>
  <si>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</si>
  <si>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</si>
  <si>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</si>
  <si>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</si>
  <si>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</si>
  <si>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</si>
  <si>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</si>
  <si>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</si>
  <si>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</si>
  <si>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</si>
  <si>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</si>
  <si>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</si>
  <si>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</si>
  <si>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</si>
  <si>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</si>
  <si>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</si>
  <si>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</si>
  <si>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</si>
  <si>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</si>
  <si>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</si>
  <si>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</si>
  <si>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</si>
  <si>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</si>
  <si>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</si>
  <si>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</si>
  <si>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</si>
  <si>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</si>
  <si>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</si>
  <si>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</si>
  <si>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</si>
  <si>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</si>
  <si>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</si>
  <si>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</si>
  <si>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</si>
  <si>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</si>
  <si>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</si>
  <si>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</si>
  <si>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</si>
  <si>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</si>
  <si>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</si>
  <si>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</si>
  <si>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</si>
  <si>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</si>
  <si>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</si>
  <si>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</si>
  <si>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</si>
  <si>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</si>
  <si>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</si>
  <si>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</si>
  <si>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</si>
  <si>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</si>
  <si>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</si>
  <si>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</si>
  <si>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</si>
  <si>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</si>
  <si>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</si>
  <si>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</si>
  <si>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</si>
  <si>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</si>
  <si>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</si>
  <si>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</si>
  <si>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</si>
  <si>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</si>
  <si>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</si>
  <si>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</si>
  <si>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</si>
  <si>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</si>
  <si>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</si>
  <si>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</si>
  <si>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</si>
  <si>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</si>
  <si>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</si>
  <si>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</si>
  <si>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</si>
  <si>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</si>
  <si>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</si>
  <si>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</si>
  <si>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</si>
  <si>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</si>
  <si>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</si>
  <si>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</si>
  <si>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</si>
  <si>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</si>
  <si>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</si>
  <si>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</si>
  <si>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</si>
  <si>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</si>
  <si>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</si>
  <si>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</si>
  <si>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</si>
  <si>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</si>
  <si>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</si>
  <si>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</si>
  <si>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</si>
  <si>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</si>
  <si>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</si>
  <si>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</si>
  <si>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</si>
  <si>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</si>
  <si>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</si>
  <si>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</si>
  <si>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</si>
  <si>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</si>
  <si>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</si>
  <si>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</si>
  <si>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</si>
  <si>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</si>
  <si>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</si>
  <si>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</si>
  <si>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</si>
  <si>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</si>
  <si>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</si>
  <si>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</si>
  <si>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</si>
  <si>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</si>
  <si>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</si>
  <si>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</si>
  <si>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</si>
  <si>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</si>
  <si>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</si>
  <si>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</si>
  <si>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</si>
  <si>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</si>
  <si>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</si>
  <si>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</si>
  <si>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</si>
  <si>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</si>
  <si>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</si>
  <si>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</si>
  <si>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</si>
  <si>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</si>
  <si>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</si>
  <si>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</si>
  <si>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</si>
  <si>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</si>
  <si>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</si>
  <si>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</si>
  <si>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</si>
  <si>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</si>
  <si>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</si>
  <si>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</si>
  <si>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</si>
  <si>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</si>
  <si>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</si>
  <si>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</si>
  <si>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</si>
  <si>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</si>
  <si>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</si>
  <si>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</si>
  <si>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</si>
  <si>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</si>
  <si>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</si>
  <si>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</si>
  <si>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</si>
  <si>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</si>
  <si>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</si>
  <si>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</si>
  <si>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</si>
  <si>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</si>
  <si>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</si>
  <si>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</si>
  <si>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</si>
  <si>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</si>
  <si>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</si>
  <si>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</si>
  <si>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</si>
  <si>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</si>
  <si>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</si>
  <si>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</si>
  <si>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</si>
  <si>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</si>
  <si>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</si>
  <si>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</si>
  <si>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</si>
  <si>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</si>
  <si>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</si>
  <si>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</si>
  <si>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</si>
  <si>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</si>
  <si>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</si>
  <si>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</si>
  <si>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</si>
  <si>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</si>
  <si>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</si>
  <si>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</si>
  <si>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</si>
  <si>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</si>
  <si>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</si>
  <si>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</si>
  <si>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</si>
  <si>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</si>
  <si>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</si>
  <si>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</si>
  <si>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</si>
  <si>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</si>
  <si>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</si>
  <si>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</si>
  <si>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</si>
  <si>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</si>
  <si>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</si>
  <si>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</si>
  <si>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</si>
  <si>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</si>
  <si>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</si>
  <si>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</si>
  <si>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</si>
  <si>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</si>
  <si>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</si>
  <si>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</si>
  <si>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</si>
  <si>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</si>
  <si>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</si>
  <si>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</si>
  <si>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</si>
  <si>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</si>
  <si>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</si>
  <si>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</si>
  <si>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</si>
  <si>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</si>
  <si>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</si>
  <si>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</si>
  <si>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</si>
  <si>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</si>
  <si>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</si>
  <si>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</si>
  <si>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</si>
  <si>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</si>
  <si>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</si>
  <si>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</si>
  <si>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</si>
  <si>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</si>
  <si>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</si>
  <si>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</si>
  <si>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</si>
  <si>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</si>
  <si>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</si>
  <si>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</si>
  <si>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</si>
  <si>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</si>
  <si>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</si>
  <si>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</si>
  <si>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</si>
  <si>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</si>
  <si>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</si>
  <si>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</si>
  <si>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</si>
  <si>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</si>
  <si>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</si>
  <si>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</si>
  <si>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</si>
  <si>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</si>
  <si>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</si>
  <si>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</si>
  <si>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</si>
  <si>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</si>
  <si>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</si>
  <si>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</si>
  <si>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</si>
  <si>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</si>
  <si>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</si>
  <si>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</si>
  <si>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</si>
  <si>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</si>
  <si>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</si>
  <si>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</si>
  <si>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</si>
  <si>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</si>
  <si>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</si>
  <si>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</si>
  <si>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</si>
  <si>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</si>
  <si>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</si>
  <si>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</si>
  <si>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</si>
  <si>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</si>
  <si>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</si>
  <si>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</si>
  <si>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</si>
  <si>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</si>
  <si>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</si>
  <si>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</si>
  <si>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</si>
  <si>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</si>
  <si>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</si>
  <si>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</si>
  <si>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</si>
  <si>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</si>
  <si>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</si>
  <si>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</si>
  <si>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</si>
  <si>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</si>
  <si>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</si>
  <si>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</si>
  <si>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</si>
  <si>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</si>
  <si>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</si>
  <si>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</si>
  <si>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</si>
  <si>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</si>
  <si>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</si>
  <si>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</si>
  <si>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</si>
  <si>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</si>
  <si>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</si>
  <si>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</si>
  <si>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</si>
  <si>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</si>
  <si>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</si>
  <si>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</si>
  <si>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</si>
  <si>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</si>
  <si>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</si>
  <si>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</si>
  <si>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</si>
  <si>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</si>
  <si>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</si>
  <si>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</si>
  <si>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</si>
  <si>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</si>
  <si>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</si>
  <si>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</si>
  <si>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</si>
  <si>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</si>
  <si>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</si>
  <si>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</si>
  <si>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</si>
  <si>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</si>
  <si>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</si>
  <si>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</si>
  <si>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</si>
  <si>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</si>
  <si>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</si>
  <si>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</si>
  <si>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</si>
  <si>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</si>
  <si>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</si>
  <si>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</si>
  <si>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</si>
  <si>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</si>
  <si>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</si>
  <si>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</si>
  <si>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</si>
  <si>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</si>
  <si>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</si>
  <si>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</si>
  <si>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</si>
  <si>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</si>
  <si>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</si>
  <si>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</si>
  <si>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</si>
  <si>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</si>
  <si>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</si>
  <si>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</si>
  <si>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</si>
  <si>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</si>
  <si>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</si>
  <si>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</si>
  <si>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</si>
  <si>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</si>
  <si>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</si>
  <si>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</si>
  <si>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</si>
  <si>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</si>
  <si>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</si>
  <si>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</si>
  <si>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</si>
  <si>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</si>
  <si>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</si>
  <si>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</si>
  <si>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</si>
  <si>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</si>
  <si>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</si>
  <si>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</si>
  <si>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</si>
  <si>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</si>
  <si>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</si>
  <si>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</si>
  <si>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</si>
  <si>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</si>
  <si>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</si>
  <si>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</si>
  <si>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</si>
  <si>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</si>
  <si>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</si>
  <si>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</si>
  <si>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</si>
  <si>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</si>
  <si>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</si>
  <si>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</si>
  <si>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</si>
  <si>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</si>
  <si>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</si>
  <si>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</si>
  <si>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</si>
  <si>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</si>
  <si>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</si>
  <si>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</si>
  <si>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</si>
  <si>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</si>
  <si>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</si>
  <si>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</si>
  <si>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</si>
  <si>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</si>
  <si>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</si>
  <si>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</si>
  <si>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</si>
  <si>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</si>
  <si>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</si>
  <si>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</si>
  <si>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</si>
  <si>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</si>
  <si>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</si>
  <si>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</si>
  <si>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</si>
  <si>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</si>
  <si>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</si>
  <si>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</si>
  <si>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</si>
  <si>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</si>
  <si>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</si>
  <si>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</si>
  <si>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</si>
  <si>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</si>
  <si>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</si>
  <si>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</si>
  <si>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</si>
  <si>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</si>
  <si>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</si>
  <si>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</si>
  <si>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</si>
  <si>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</si>
  <si>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</si>
  <si>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</si>
  <si>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</si>
  <si>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</si>
  <si>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</si>
  <si>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</si>
  <si>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</si>
  <si>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</si>
  <si>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</si>
  <si>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</si>
  <si>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</si>
  <si>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</si>
  <si>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</si>
  <si>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</si>
  <si>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</si>
  <si>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</si>
  <si>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</si>
  <si>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</si>
  <si>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</si>
  <si>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</si>
  <si>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</si>
  <si>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</si>
  <si>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</si>
  <si>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</si>
  <si>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</si>
  <si>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</si>
  <si>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</si>
  <si>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</si>
  <si>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</si>
  <si>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</si>
  <si>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</si>
  <si>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</si>
  <si>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</si>
  <si>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</si>
  <si>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</si>
  <si>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</si>
  <si>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</si>
  <si>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</si>
  <si>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</si>
  <si>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</si>
  <si>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</si>
  <si>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</si>
  <si>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</si>
  <si>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</si>
  <si>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</si>
  <si>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</si>
  <si>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</si>
  <si>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</si>
  <si>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</si>
  <si>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</si>
  <si>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</si>
  <si>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</si>
  <si>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</si>
  <si>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</si>
  <si>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</si>
  <si>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</si>
  <si>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</si>
  <si>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</si>
  <si>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</si>
  <si>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</si>
  <si>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</si>
  <si>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</si>
  <si>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</si>
  <si>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</si>
  <si>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</si>
  <si>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</si>
  <si>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</si>
  <si>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</si>
  <si>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</si>
  <si>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</si>
  <si>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</si>
  <si>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</si>
  <si>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</si>
  <si>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</si>
  <si>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</si>
  <si>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</si>
  <si>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</si>
  <si>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</si>
  <si>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</si>
  <si>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</si>
  <si>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</si>
  <si>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</si>
  <si>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</si>
  <si>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</si>
  <si>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</si>
  <si>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</si>
  <si>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</si>
  <si>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</si>
  <si>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</si>
  <si>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</si>
  <si>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</si>
  <si>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</si>
  <si>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</si>
  <si>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</si>
  <si>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</si>
  <si>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</si>
  <si>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</si>
  <si>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</si>
  <si>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</si>
  <si>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</si>
  <si>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</si>
  <si>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</si>
  <si>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</si>
  <si>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</si>
  <si>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</si>
  <si>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</si>
  <si>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</si>
  <si>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</si>
  <si>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</si>
  <si>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</si>
  <si>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</si>
  <si>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</si>
  <si>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</si>
  <si>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</si>
  <si>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</si>
  <si>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</si>
  <si>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</si>
  <si>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</si>
  <si>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</si>
  <si>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</si>
  <si>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</si>
  <si>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</si>
  <si>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</si>
  <si>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</si>
  <si>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</si>
  <si>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</si>
  <si>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</si>
  <si>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</si>
  <si>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</si>
  <si>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</si>
  <si>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</si>
  <si>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</si>
  <si>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</si>
  <si>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</si>
  <si>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</si>
  <si>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</si>
  <si>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</si>
  <si>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</si>
  <si>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</si>
  <si>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</si>
  <si>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</si>
  <si>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</si>
  <si>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</si>
  <si>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</si>
  <si>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</si>
  <si>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</si>
  <si>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</si>
  <si>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</si>
  <si>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</si>
  <si>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</si>
  <si>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</si>
  <si>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</si>
  <si>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</si>
  <si>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</si>
  <si>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</si>
  <si>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</si>
  <si>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</si>
  <si>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</si>
  <si>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</si>
  <si>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</si>
  <si>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</si>
  <si>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</si>
  <si>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</si>
  <si>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</si>
  <si>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</si>
  <si>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</si>
  <si>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</si>
  <si>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</si>
  <si>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</si>
  <si>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</si>
  <si>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</si>
  <si>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</si>
  <si>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</si>
  <si>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</si>
  <si>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</si>
  <si>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</si>
  <si>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</si>
  <si>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</si>
  <si>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</si>
  <si>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</si>
  <si>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</si>
  <si>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</si>
  <si>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</si>
  <si>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</si>
  <si>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</si>
  <si>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</si>
  <si>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</si>
  <si>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</si>
  <si>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</si>
  <si>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</si>
  <si>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</si>
  <si>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</si>
  <si>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</si>
  <si>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</si>
  <si>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</si>
  <si>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</si>
  <si>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</si>
  <si>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</si>
  <si>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</si>
  <si>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</si>
  <si>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</si>
  <si>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</si>
  <si>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</si>
  <si>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</si>
  <si>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</si>
  <si>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</si>
  <si>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</si>
  <si>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</si>
  <si>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</si>
  <si>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</si>
  <si>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</si>
  <si>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</si>
  <si>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</si>
  <si>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</si>
  <si>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</si>
  <si>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</si>
  <si>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</si>
  <si>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</si>
  <si>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</si>
  <si>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</si>
  <si>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</si>
  <si>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</si>
  <si>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</si>
  <si>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</si>
  <si>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</si>
  <si>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</si>
  <si>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</si>
  <si>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</si>
  <si>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</si>
  <si>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</si>
  <si>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</si>
  <si>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</si>
  <si>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</si>
  <si>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</si>
  <si>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</si>
  <si>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</si>
  <si>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</si>
  <si>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</si>
  <si>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</si>
  <si>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</si>
  <si>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</si>
  <si>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</si>
  <si>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</si>
  <si>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</si>
  <si>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</si>
  <si>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</si>
  <si>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</si>
  <si>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</si>
  <si>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</si>
  <si>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</si>
  <si>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</si>
  <si>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</si>
  <si>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</si>
  <si>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</si>
  <si>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</si>
  <si>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</si>
  <si>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</si>
  <si>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</si>
  <si>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</si>
  <si>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</si>
  <si>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</si>
  <si>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</si>
  <si>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</si>
  <si>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</si>
  <si>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</si>
  <si>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</si>
  <si>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</si>
  <si>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</si>
  <si>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</si>
  <si>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</si>
  <si>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</si>
  <si>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</si>
  <si>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</si>
  <si>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</si>
  <si>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</si>
  <si>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</si>
  <si>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</si>
  <si>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</si>
  <si>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</si>
  <si>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</si>
  <si>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</si>
  <si>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</si>
  <si>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</si>
  <si>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</si>
  <si>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</si>
  <si>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</si>
  <si>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</si>
  <si>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</si>
  <si>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</si>
  <si>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</si>
  <si>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</si>
  <si>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</si>
  <si>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</si>
  <si>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</si>
  <si>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</si>
  <si>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</si>
  <si>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</si>
  <si>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</si>
  <si>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</si>
  <si>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</si>
  <si>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</si>
  <si>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</si>
  <si>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</si>
  <si>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</si>
  <si>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</si>
  <si>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</si>
  <si>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</si>
  <si>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</si>
  <si>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</si>
  <si>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</si>
  <si>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</si>
  <si>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</si>
  <si>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</si>
  <si>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</si>
  <si>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</si>
  <si>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</si>
  <si>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</si>
  <si>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</si>
  <si>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</si>
  <si>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</si>
  <si>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</si>
  <si>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</si>
  <si>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</si>
  <si>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</si>
  <si>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</si>
  <si>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</si>
  <si>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</si>
  <si>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</si>
  <si>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</si>
  <si>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</si>
  <si>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</si>
  <si>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</si>
  <si>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</si>
  <si>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</si>
  <si>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</si>
  <si>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</si>
  <si>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</si>
  <si>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</si>
  <si>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</si>
  <si>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</si>
  <si>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</si>
  <si>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</si>
  <si>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</si>
  <si>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</si>
  <si>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</si>
  <si>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</si>
  <si>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</si>
  <si>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</si>
  <si>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</si>
  <si>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</si>
  <si>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</si>
  <si>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</si>
  <si>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</si>
  <si>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</si>
  <si>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</si>
  <si>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</si>
  <si>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</si>
  <si>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</si>
  <si>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</si>
  <si>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</si>
  <si>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</si>
  <si>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</si>
  <si>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</si>
  <si>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</si>
  <si>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</si>
  <si>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</si>
  <si>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</si>
  <si>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</si>
  <si>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</si>
  <si>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</si>
  <si>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</si>
  <si>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</si>
  <si>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</si>
  <si>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</si>
  <si>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</si>
  <si>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</si>
  <si>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</si>
  <si>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</si>
  <si>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</si>
  <si>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</si>
  <si>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</si>
  <si>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</si>
  <si>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</si>
  <si>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</si>
  <si>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</si>
  <si>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</si>
  <si>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</si>
  <si>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</si>
  <si>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</si>
  <si>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</si>
  <si>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</si>
  <si>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</si>
  <si>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</si>
  <si>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</si>
  <si>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</si>
  <si>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</si>
  <si>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</si>
  <si>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</si>
  <si>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</si>
  <si>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</si>
  <si>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</si>
  <si>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</si>
  <si>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</si>
  <si>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</si>
  <si>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</si>
  <si>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</si>
  <si>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</si>
  <si>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</si>
  <si>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</si>
  <si>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</si>
  <si>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</si>
  <si>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</si>
  <si>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</si>
  <si>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</si>
  <si>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</si>
  <si>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</si>
  <si>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</si>
  <si>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</si>
  <si>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</si>
  <si>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</si>
  <si>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</si>
  <si>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</si>
  <si>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</si>
  <si>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</si>
  <si>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</si>
  <si>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</si>
  <si>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</si>
  <si>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</si>
  <si>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</si>
  <si>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</si>
  <si>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</si>
  <si>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</si>
  <si>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</si>
  <si>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</si>
  <si>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</si>
  <si>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</si>
  <si>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</si>
  <si>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</si>
  <si>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</si>
  <si>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</si>
  <si>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</si>
  <si>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</si>
  <si>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</si>
  <si>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</si>
  <si>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</si>
  <si>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</si>
  <si>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</si>
  <si>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</si>
  <si>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</si>
  <si>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</si>
  <si>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</si>
  <si>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</si>
  <si>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</si>
  <si>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</si>
  <si>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</si>
  <si>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</si>
  <si>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</si>
  <si>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</si>
  <si>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</si>
  <si>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</si>
  <si>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</si>
  <si>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</si>
  <si>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</si>
  <si>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</si>
  <si>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</si>
  <si>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</si>
  <si>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</si>
  <si>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</si>
  <si>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</si>
  <si>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</si>
  <si>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</si>
  <si>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</si>
  <si>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</si>
  <si>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</si>
  <si>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</si>
  <si>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</si>
  <si>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</si>
  <si>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</si>
  <si>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</si>
  <si>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</si>
  <si>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</si>
  <si>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</si>
  <si>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</si>
  <si>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</si>
  <si>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</si>
  <si>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</si>
  <si>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</si>
  <si>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</si>
  <si>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</si>
  <si>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</si>
  <si>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</si>
  <si>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</si>
  <si>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</si>
  <si>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</si>
  <si>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</si>
  <si>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</si>
  <si>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</si>
  <si>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</si>
  <si>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</si>
  <si>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</si>
  <si>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</si>
  <si>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</si>
  <si>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</si>
  <si>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</si>
  <si>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</si>
  <si>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</si>
  <si>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</si>
  <si>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</si>
  <si>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</si>
  <si>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</si>
  <si>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</si>
  <si>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</si>
  <si>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</si>
  <si>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</si>
  <si>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</si>
  <si>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</si>
  <si>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</si>
  <si>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</si>
  <si>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</si>
  <si>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</si>
  <si>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</si>
  <si>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</si>
  <si>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</si>
  <si>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</si>
  <si>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</si>
  <si>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</si>
  <si>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</si>
  <si>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</si>
  <si>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</si>
  <si>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</si>
  <si>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</si>
  <si>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</si>
  <si>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</si>
  <si>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</si>
  <si>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</si>
  <si>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</si>
  <si>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</si>
  <si>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</si>
  <si>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</si>
  <si>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</si>
  <si>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</si>
  <si>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</si>
  <si>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</si>
  <si>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</si>
  <si>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</si>
  <si>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</si>
  <si>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</si>
  <si>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</si>
  <si>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</si>
  <si>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</si>
  <si>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</si>
  <si>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</si>
  <si>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</si>
  <si>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</si>
  <si>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</si>
  <si>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</si>
  <si>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</si>
  <si>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</si>
  <si>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</si>
  <si>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</si>
  <si>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</si>
  <si>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</si>
  <si>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</si>
  <si>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</si>
  <si>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</si>
  <si>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</si>
  <si>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</si>
  <si>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</si>
  <si>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</si>
  <si>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</si>
  <si>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</si>
  <si>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</si>
  <si>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</si>
  <si>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</si>
  <si>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</si>
  <si>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</si>
  <si>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</si>
  <si>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</si>
  <si>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</si>
  <si>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</si>
  <si>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</si>
  <si>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</si>
  <si>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</si>
  <si>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</si>
  <si>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</si>
  <si>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</si>
  <si>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</si>
  <si>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</si>
  <si>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</si>
  <si>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</si>
  <si>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</si>
  <si>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</si>
  <si>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</si>
  <si>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</si>
  <si>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</si>
  <si>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</si>
  <si>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</si>
  <si>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</si>
  <si>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</si>
  <si>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</si>
  <si>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</si>
  <si>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</si>
  <si>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</si>
  <si>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</si>
  <si>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</si>
  <si>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</si>
  <si>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</si>
  <si>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</si>
  <si>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</si>
  <si>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</si>
  <si>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</si>
  <si>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</si>
  <si>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</si>
  <si>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</si>
  <si>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</si>
  <si>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</si>
  <si>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</si>
  <si>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</si>
  <si>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</si>
  <si>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</si>
  <si>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</si>
  <si>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</si>
  <si>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</si>
  <si>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</si>
  <si>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</si>
  <si>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</si>
  <si>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</si>
  <si>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</si>
  <si>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</si>
  <si>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</si>
  <si>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</si>
  <si>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</si>
  <si>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</si>
  <si>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</si>
  <si>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</si>
  <si>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</si>
  <si>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</si>
  <si>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</si>
  <si>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</si>
  <si>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</si>
  <si>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</si>
  <si>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</si>
  <si>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</si>
  <si>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</si>
  <si>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</si>
  <si>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</si>
  <si>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</si>
  <si>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</si>
  <si>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</si>
  <si>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</si>
  <si>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</si>
  <si>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</si>
  <si>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</si>
  <si>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</si>
  <si>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</si>
  <si>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</si>
  <si>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</si>
  <si>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</si>
  <si>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</si>
  <si>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</si>
  <si>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</si>
  <si>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</si>
  <si>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</si>
  <si>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</si>
  <si>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</si>
  <si>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</si>
  <si>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</si>
  <si>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</si>
  <si>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</si>
  <si>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</si>
  <si>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</si>
  <si>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</si>
  <si>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</si>
  <si>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</si>
  <si>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</si>
  <si>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</si>
  <si>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</si>
  <si>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</si>
  <si>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</si>
  <si>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</si>
  <si>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</si>
  <si>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</si>
  <si>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</si>
  <si>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</si>
  <si>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</si>
  <si>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</si>
  <si>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</si>
  <si>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</si>
  <si>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</si>
  <si>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</si>
  <si>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</si>
  <si>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</si>
  <si>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</si>
  <si>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</si>
  <si>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</si>
  <si>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</si>
  <si>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</si>
  <si>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</si>
  <si>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</si>
  <si>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</si>
  <si>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</si>
  <si>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</si>
  <si>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</si>
  <si>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</si>
  <si>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</si>
  <si>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</si>
  <si>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</si>
  <si>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</si>
  <si>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</si>
  <si>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</si>
  <si>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</si>
  <si>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</si>
  <si>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</si>
  <si>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</si>
  <si>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</si>
  <si>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</si>
  <si>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</si>
  <si>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</si>
  <si>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</si>
  <si>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</si>
  <si>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</si>
  <si>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</si>
  <si>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</si>
  <si>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</si>
  <si>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</si>
  <si>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</si>
  <si>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</si>
  <si>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</si>
  <si>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</si>
  <si>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</si>
  <si>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</si>
  <si>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</si>
  <si>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</si>
  <si>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</si>
  <si>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</si>
  <si>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</si>
  <si>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</si>
  <si>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</si>
  <si>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</si>
  <si>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</si>
  <si>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</si>
  <si>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</si>
  <si>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</si>
  <si>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</si>
  <si>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</si>
  <si>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</si>
  <si>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</si>
  <si>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</si>
  <si>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</si>
  <si>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</si>
  <si>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</si>
  <si>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</si>
  <si>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</si>
  <si>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</si>
  <si>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</si>
  <si>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</si>
  <si>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</si>
  <si>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</si>
  <si>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</si>
  <si>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</si>
  <si>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</si>
  <si>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</si>
  <si>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</si>
  <si>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</si>
  <si>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</si>
  <si>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</si>
  <si>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</si>
  <si>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</si>
  <si>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</si>
  <si>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</si>
  <si>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</si>
  <si>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</si>
  <si>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</si>
  <si>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</si>
  <si>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</si>
  <si>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</si>
  <si>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</si>
  <si>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</si>
  <si>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</si>
  <si>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</si>
  <si>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</si>
  <si>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</si>
  <si>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</si>
  <si>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</si>
  <si>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</si>
  <si>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</si>
  <si>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</si>
  <si>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</si>
  <si>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</si>
  <si>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</si>
  <si>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</si>
  <si>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</si>
  <si>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</si>
  <si>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</si>
  <si>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</si>
  <si>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</si>
  <si>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</si>
  <si>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</si>
  <si>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</si>
  <si>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</si>
  <si>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</si>
  <si>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</si>
  <si>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</si>
  <si>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</si>
  <si>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</si>
  <si>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</si>
  <si>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</si>
  <si>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</si>
  <si>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</si>
  <si>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</si>
  <si>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</si>
  <si>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</si>
  <si>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</si>
  <si>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</si>
  <si>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</si>
  <si>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</si>
  <si>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</si>
  <si>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</si>
  <si>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</si>
  <si>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</si>
  <si>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</si>
  <si>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</si>
  <si>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</si>
  <si>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</si>
  <si>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</si>
  <si>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</si>
  <si>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</si>
  <si>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</si>
  <si>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</si>
  <si>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</si>
  <si>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</si>
  <si>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</si>
  <si>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</si>
  <si>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</si>
  <si>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</si>
  <si>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</si>
  <si>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</si>
  <si>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</si>
  <si>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</si>
  <si>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</si>
  <si>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</si>
  <si>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</si>
  <si>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</si>
  <si>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</si>
  <si>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</si>
  <si>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</si>
  <si>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</si>
  <si>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</si>
  <si>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</si>
  <si>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</si>
  <si>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</si>
  <si>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</si>
  <si>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</si>
  <si>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</si>
  <si>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</si>
  <si>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</si>
  <si>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</si>
  <si>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</si>
  <si>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</si>
  <si>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</si>
  <si>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</si>
  <si>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</si>
  <si>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</si>
  <si>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</si>
  <si>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</si>
  <si>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</si>
  <si>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</si>
  <si>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</si>
  <si>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</si>
  <si>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</si>
  <si>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</si>
  <si>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</si>
  <si>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</si>
  <si>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</si>
  <si>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</si>
  <si>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</si>
  <si>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</si>
  <si>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</si>
  <si>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</si>
  <si>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</si>
  <si>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</si>
  <si>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</si>
  <si>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</si>
  <si>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</si>
  <si>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</si>
  <si>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</si>
  <si>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</si>
  <si>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</si>
  <si>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</si>
  <si>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</si>
  <si>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</si>
  <si>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</si>
  <si>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</si>
  <si>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</si>
  <si>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</si>
  <si>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</si>
  <si>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</si>
  <si>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</si>
  <si>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</si>
  <si>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</si>
  <si>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</si>
  <si>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</si>
  <si>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</si>
  <si>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</si>
  <si>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</si>
  <si>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</si>
  <si>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</si>
  <si>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</si>
  <si>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</si>
  <si>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</si>
  <si>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</si>
  <si>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</si>
  <si>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</si>
  <si>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</si>
  <si>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</si>
  <si>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</si>
  <si>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</si>
  <si>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</si>
  <si>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</si>
  <si>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</si>
  <si>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</si>
  <si>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</si>
  <si>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</si>
  <si>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</si>
  <si>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</si>
  <si>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</si>
  <si>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</si>
  <si>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</si>
  <si>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</si>
  <si>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</si>
  <si>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</si>
  <si>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</si>
  <si>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</si>
  <si>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</si>
  <si>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</si>
  <si>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</si>
  <si>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</si>
  <si>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</si>
  <si>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</si>
  <si>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</si>
  <si>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</si>
  <si>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</si>
  <si>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</si>
  <si>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</si>
  <si>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</si>
  <si>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</si>
  <si>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</si>
  <si>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</si>
  <si>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</si>
  <si>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</si>
  <si>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</si>
  <si>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</si>
  <si>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</si>
  <si>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</si>
  <si>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</si>
  <si>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</si>
  <si>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</si>
  <si>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</si>
  <si>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</si>
  <si>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</si>
  <si>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</si>
  <si>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</si>
  <si>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</si>
  <si>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</si>
  <si>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</si>
  <si>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</si>
  <si>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</si>
  <si>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</si>
  <si>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</si>
  <si>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</si>
  <si>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</si>
  <si>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</si>
  <si>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</si>
  <si>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</si>
  <si>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</si>
  <si>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</si>
  <si>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</si>
  <si>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</si>
  <si>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</si>
  <si>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</si>
  <si>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</si>
  <si>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</si>
  <si>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</si>
  <si>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</si>
  <si>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</si>
  <si>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</si>
  <si>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</si>
  <si>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</si>
  <si>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</si>
  <si>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</si>
  <si>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</si>
  <si>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</si>
  <si>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</si>
  <si>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</si>
  <si>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</si>
  <si>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</si>
  <si>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</si>
  <si>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</si>
  <si>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</si>
  <si>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</si>
  <si>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</si>
  <si>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</si>
  <si>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</si>
  <si>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</si>
  <si>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</si>
  <si>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</si>
  <si>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</si>
  <si>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</si>
  <si>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</si>
  <si>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</si>
  <si>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</si>
  <si>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</si>
  <si>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</si>
  <si>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</si>
  <si>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</si>
  <si>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</si>
  <si>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</si>
  <si>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</si>
  <si>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</si>
  <si>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</si>
  <si>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</si>
  <si>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</si>
  <si>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</si>
  <si>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</si>
  <si>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</si>
  <si>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</si>
  <si>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</si>
  <si>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</si>
  <si>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</si>
  <si>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</si>
  <si>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</si>
  <si>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</si>
  <si>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</si>
  <si>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</si>
  <si>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</si>
  <si>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</si>
  <si>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</si>
  <si>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</si>
  <si>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</si>
  <si>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</si>
  <si>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</si>
  <si>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</si>
  <si>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</si>
  <si>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</si>
  <si>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</si>
  <si>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</si>
  <si>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</si>
  <si>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</si>
  <si>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</si>
  <si>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</si>
  <si>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</si>
  <si>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</si>
  <si>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</si>
  <si>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</si>
  <si>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</si>
  <si>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</si>
  <si>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</si>
  <si>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</si>
  <si>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</si>
  <si>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</si>
  <si>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</si>
  <si>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</si>
  <si>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</si>
  <si>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</si>
  <si>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</si>
  <si>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</si>
  <si>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</si>
  <si>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</si>
  <si>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</si>
  <si>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</si>
  <si>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</si>
  <si>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</si>
  <si>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</si>
  <si>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</si>
  <si>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</si>
  <si>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</si>
  <si>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</si>
  <si>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</si>
  <si>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</si>
  <si>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</si>
  <si>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</si>
  <si>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</si>
  <si>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</si>
  <si>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</si>
  <si>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</si>
  <si>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</si>
  <si>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</si>
  <si>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</si>
  <si>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</si>
  <si>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</si>
  <si>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</si>
  <si>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</si>
  <si>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</si>
  <si>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</si>
  <si>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</si>
  <si>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</si>
  <si>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</si>
  <si>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</si>
  <si>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</si>
  <si>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</si>
  <si>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</si>
  <si>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</si>
  <si>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</si>
  <si>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</si>
  <si>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</si>
  <si>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</si>
  <si>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</si>
  <si>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</si>
  <si>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</si>
  <si>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</si>
  <si>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</si>
  <si>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</si>
  <si>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</si>
  <si>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</si>
  <si>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</si>
  <si>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</si>
  <si>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</si>
  <si>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</si>
  <si>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</si>
  <si>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</si>
  <si>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</si>
  <si>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</si>
  <si>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</si>
  <si>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</si>
  <si>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</si>
  <si>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</si>
  <si>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</si>
  <si>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</si>
  <si>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</si>
  <si>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</si>
  <si>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</si>
  <si>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</si>
  <si>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</si>
  <si>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</si>
  <si>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</si>
  <si>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</si>
  <si>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</si>
  <si>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</si>
  <si>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</si>
  <si>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</si>
  <si>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</si>
  <si>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</si>
  <si>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</si>
  <si>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</si>
  <si>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</si>
  <si>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</si>
  <si>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</si>
  <si>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</si>
  <si>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</si>
  <si>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</si>
  <si>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</si>
  <si>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</si>
  <si>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</si>
  <si>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</si>
  <si>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</si>
  <si>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</si>
  <si>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</si>
  <si>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</si>
  <si>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</si>
  <si>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</si>
  <si>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</si>
  <si>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</si>
  <si>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</si>
  <si>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</si>
  <si>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</si>
  <si>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</si>
  <si>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</si>
  <si>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</si>
  <si>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</si>
  <si>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</si>
  <si>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</si>
  <si>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</si>
  <si>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</si>
  <si>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</si>
  <si>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</si>
  <si>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</si>
  <si>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</si>
  <si>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</si>
  <si>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</si>
  <si>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</si>
  <si>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</si>
  <si>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</si>
  <si>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</si>
  <si>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</si>
  <si>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</si>
  <si>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</si>
  <si>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</si>
  <si>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</si>
  <si>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</si>
  <si>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</si>
  <si>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</si>
  <si>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</si>
  <si>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</si>
  <si>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</si>
  <si>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</si>
  <si>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</si>
  <si>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</si>
  <si>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</si>
  <si>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</si>
  <si>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</si>
  <si>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</si>
  <si>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</si>
  <si>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</si>
  <si>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</si>
  <si>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</si>
  <si>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</si>
  <si>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</si>
  <si>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</si>
  <si>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</si>
  <si>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</si>
  <si>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</si>
  <si>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</si>
  <si>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</si>
  <si>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</si>
  <si>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</si>
  <si>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</si>
  <si>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</si>
  <si>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بدهی به داریوش 24/1/98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</si>
</sst>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4941</v>
      </c>
      <c r="B4" s="18">
        <v>-960200</v>
      </c>
      <c r="C4" s="18">
        <v>0</v>
      </c>
      <c r="D4" s="113">
        <f t="shared" si="0"/>
        <v>-960200</v>
      </c>
      <c r="E4" s="99" t="s">
        <v>4948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4926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4951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4975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4978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4994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4915</v>
      </c>
      <c r="B341" s="18">
        <v>433375</v>
      </c>
      <c r="C341" s="18">
        <v>0</v>
      </c>
      <c r="D341" s="18">
        <f t="shared" si="18"/>
        <v>433375</v>
      </c>
      <c r="E341" s="99" t="s">
        <v>4920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4926</v>
      </c>
      <c r="B343" s="18">
        <v>-300000</v>
      </c>
      <c r="C343" s="18">
        <v>0</v>
      </c>
      <c r="D343" s="18">
        <f t="shared" si="18"/>
        <v>-300000</v>
      </c>
      <c r="E343" s="99" t="s">
        <v>4929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4938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4941</v>
      </c>
      <c r="B347" s="18">
        <v>-960200</v>
      </c>
      <c r="C347" s="18">
        <v>0</v>
      </c>
      <c r="D347" s="18">
        <f t="shared" si="18"/>
        <v>-960200</v>
      </c>
      <c r="E347" s="99" t="s">
        <v>4948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4940</v>
      </c>
      <c r="B193" s="38">
        <v>-25000</v>
      </c>
      <c r="C193" s="11" t="s">
        <v>4950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3"/>
  <sheetViews>
    <sheetView tabSelected="1" topLeftCell="J95" zoomScaleNormal="100" workbookViewId="0">
      <selection activeCell="P66" sqref="P6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4972</v>
      </c>
      <c r="AT12" s="73" t="s">
        <v>4973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4974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3788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5" si="6">U20*(1+$N$96+$Q$15*S20/36500)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-N40</f>
        <v>499703148.46961331</v>
      </c>
      <c r="M21" s="168" t="s">
        <v>4301</v>
      </c>
      <c r="N21" s="113">
        <f t="shared" ref="N21:N28" si="9">O21*P21</f>
        <v>15595566.799999999</v>
      </c>
      <c r="O21" s="99">
        <v>82429</v>
      </c>
      <c r="P21" s="186">
        <f>P63</f>
        <v>189.2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9"/>
        <v>97788815.699999988</v>
      </c>
      <c r="O22" s="99">
        <v>25521</v>
      </c>
      <c r="P22" s="186">
        <f>P50</f>
        <v>3831.7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1197007.2</v>
      </c>
      <c r="O23" s="99">
        <v>8808</v>
      </c>
      <c r="P23" s="186">
        <f>P52</f>
        <v>135.9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L76</f>
        <v>455824522.46961331</v>
      </c>
      <c r="G24" s="95">
        <f t="shared" si="0"/>
        <v>-175518177.08767468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100807556.90000001</v>
      </c>
      <c r="O24" s="99">
        <v>154447</v>
      </c>
      <c r="P24" s="186">
        <f>P56</f>
        <v>652.70000000000005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92170567.100000009</v>
      </c>
      <c r="O25" s="99">
        <v>20491</v>
      </c>
      <c r="P25" s="186">
        <f>P57</f>
        <v>4498.1000000000004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4910</v>
      </c>
      <c r="N26" s="113">
        <f t="shared" si="9"/>
        <v>74951.7</v>
      </c>
      <c r="O26" s="99">
        <v>229</v>
      </c>
      <c r="P26" s="186">
        <f>P64</f>
        <v>327.3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5"/>
      <c r="L27" s="117"/>
      <c r="M27" s="215" t="s">
        <v>4932</v>
      </c>
      <c r="N27" s="113">
        <f t="shared" si="9"/>
        <v>85440</v>
      </c>
      <c r="O27" s="99">
        <v>120</v>
      </c>
      <c r="P27" s="186">
        <f>P55</f>
        <v>712</v>
      </c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11364676</v>
      </c>
      <c r="O28" s="99">
        <v>1828</v>
      </c>
      <c r="P28" s="99">
        <f>P54</f>
        <v>6217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6973</v>
      </c>
      <c r="O30" s="69" t="s">
        <v>25</v>
      </c>
      <c r="P30" s="99" t="s">
        <v>25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7" si="13">O31*P31</f>
        <v>6509199</v>
      </c>
      <c r="O31" s="69">
        <v>1047</v>
      </c>
      <c r="P31" s="99">
        <f>P54</f>
        <v>6217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4932</v>
      </c>
      <c r="N32" s="113">
        <f t="shared" si="13"/>
        <v>85440</v>
      </c>
      <c r="O32" s="69">
        <v>120</v>
      </c>
      <c r="P32" s="99">
        <f>P55</f>
        <v>712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4391</v>
      </c>
      <c r="N33" s="113">
        <f t="shared" si="13"/>
        <v>4364306.3</v>
      </c>
      <c r="O33" s="69">
        <v>1139</v>
      </c>
      <c r="P33" s="99">
        <f>P50</f>
        <v>3831.7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4410</v>
      </c>
      <c r="N34" s="113">
        <f t="shared" si="13"/>
        <v>455584.60000000003</v>
      </c>
      <c r="O34" s="69">
        <v>698</v>
      </c>
      <c r="P34" s="99">
        <f>P56</f>
        <v>652.70000000000005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5" si="14">V34*(1+$W$19/100)</f>
        <v>3306.0786608219182</v>
      </c>
      <c r="X34" s="32">
        <f t="shared" ref="X34:X55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5"/>
      <c r="L35" s="117"/>
      <c r="M35" s="190" t="s">
        <v>4538</v>
      </c>
      <c r="N35" s="113">
        <f t="shared" si="13"/>
        <v>652224.5</v>
      </c>
      <c r="O35" s="69">
        <v>145</v>
      </c>
      <c r="P35" s="99">
        <f>P57</f>
        <v>4498.1000000000004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5"/>
      <c r="L36" s="117"/>
      <c r="M36" s="190" t="s">
        <v>4910</v>
      </c>
      <c r="N36" s="113">
        <f t="shared" si="13"/>
        <v>74951.7</v>
      </c>
      <c r="O36" s="69">
        <v>229</v>
      </c>
      <c r="P36" s="99">
        <f>P64</f>
        <v>327.3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90" t="s">
        <v>4439</v>
      </c>
      <c r="N37" s="113">
        <f t="shared" si="13"/>
        <v>23778466.799999997</v>
      </c>
      <c r="O37" s="69">
        <v>125679</v>
      </c>
      <c r="P37" s="99">
        <f>P63</f>
        <v>189.2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/>
      <c r="N38" s="113"/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25</v>
      </c>
      <c r="L39" s="117"/>
      <c r="M39" s="168" t="s">
        <v>756</v>
      </c>
      <c r="N39" s="113">
        <v>3000000</v>
      </c>
      <c r="O39" t="s">
        <v>25</v>
      </c>
      <c r="P39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918</v>
      </c>
      <c r="L40" s="117">
        <v>4800000</v>
      </c>
      <c r="M40" s="168" t="s">
        <v>4149</v>
      </c>
      <c r="N40" s="113">
        <f>-S178</f>
        <v>-499703148.46961331</v>
      </c>
      <c r="O40" s="96" t="s">
        <v>25</v>
      </c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753</v>
      </c>
      <c r="N41" s="113">
        <v>500000</v>
      </c>
      <c r="O41" s="96" t="s">
        <v>25</v>
      </c>
      <c r="P41" s="122" t="s">
        <v>25</v>
      </c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1086</v>
      </c>
      <c r="L42" s="117">
        <f>'خرید و فروش سکه فیزیکی'!M48*10*P65</f>
        <v>0</v>
      </c>
      <c r="M42" s="168" t="s">
        <v>760</v>
      </c>
      <c r="N42" s="113">
        <v>1200000</v>
      </c>
      <c r="O42" t="s">
        <v>25</v>
      </c>
      <c r="P42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4829</v>
      </c>
      <c r="L43" s="117">
        <v>-47500000</v>
      </c>
      <c r="M43" s="73"/>
      <c r="N43" s="113"/>
      <c r="O43" s="96" t="s">
        <v>25</v>
      </c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1086</v>
      </c>
      <c r="N44" s="113">
        <f>('خرید و فروش سکه فیزیکی'!M47+3)*10*P65</f>
        <v>14670000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 ht="16.5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4828</v>
      </c>
      <c r="N45" s="113">
        <v>-18000000</v>
      </c>
      <c r="O45" s="247"/>
      <c r="P45" s="114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4830</v>
      </c>
      <c r="N46" s="113">
        <v>-47000000</v>
      </c>
      <c r="O46" s="96"/>
      <c r="P46" s="96" t="s">
        <v>25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5002</v>
      </c>
      <c r="L47" s="117">
        <v>-150000</v>
      </c>
      <c r="M47" s="168"/>
      <c r="N47" s="113"/>
      <c r="O47" s="96"/>
      <c r="P47" s="96" t="s">
        <v>25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 t="s">
        <v>4997</v>
      </c>
      <c r="L48" s="117">
        <v>-2500000</v>
      </c>
      <c r="M48" s="168" t="s">
        <v>4459</v>
      </c>
      <c r="N48" s="113">
        <v>1233</v>
      </c>
      <c r="P48" t="s">
        <v>25</v>
      </c>
      <c r="Q48" s="169">
        <v>62110</v>
      </c>
      <c r="R48" s="215" t="s">
        <v>4906</v>
      </c>
      <c r="S48" s="198">
        <f>S47</f>
        <v>21</v>
      </c>
      <c r="T48" s="215" t="s">
        <v>4911</v>
      </c>
      <c r="U48" s="215">
        <v>270</v>
      </c>
      <c r="V48" s="215">
        <f t="shared" si="6"/>
        <v>277.3735890410959</v>
      </c>
      <c r="W48" s="32">
        <f t="shared" si="14"/>
        <v>282.92106082191782</v>
      </c>
      <c r="X48" s="32">
        <f t="shared" si="15"/>
        <v>288.46853260273974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68"/>
      <c r="N49" s="113"/>
      <c r="O49" s="99"/>
      <c r="P49" s="99"/>
      <c r="Q49" s="169">
        <v>5809833</v>
      </c>
      <c r="R49" s="215" t="s">
        <v>4926</v>
      </c>
      <c r="S49" s="198">
        <f>S48-2</f>
        <v>19</v>
      </c>
      <c r="T49" s="215" t="s">
        <v>4930</v>
      </c>
      <c r="U49" s="215">
        <v>587.29999999999995</v>
      </c>
      <c r="V49" s="215">
        <f t="shared" si="6"/>
        <v>602.43785863013693</v>
      </c>
      <c r="W49" s="32">
        <f t="shared" si="14"/>
        <v>614.48661580273972</v>
      </c>
      <c r="X49" s="32">
        <f t="shared" si="15"/>
        <v>626.5353729753424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56"/>
      <c r="L50" s="117"/>
      <c r="M50" s="206" t="s">
        <v>4391</v>
      </c>
      <c r="N50" s="113">
        <f>O50*P50</f>
        <v>122599073.19999999</v>
      </c>
      <c r="O50" s="99">
        <v>31996</v>
      </c>
      <c r="P50" s="99">
        <v>3831.7</v>
      </c>
      <c r="Q50" s="169">
        <v>22263826</v>
      </c>
      <c r="R50" s="215" t="s">
        <v>4926</v>
      </c>
      <c r="S50" s="198">
        <f>S49</f>
        <v>19</v>
      </c>
      <c r="T50" s="215" t="s">
        <v>4931</v>
      </c>
      <c r="U50" s="215">
        <v>3560</v>
      </c>
      <c r="V50" s="215">
        <f t="shared" si="6"/>
        <v>3651.760219178082</v>
      </c>
      <c r="W50" s="32">
        <f t="shared" si="14"/>
        <v>3724.7954235616439</v>
      </c>
      <c r="X50" s="32">
        <f t="shared" si="15"/>
        <v>3797.8306279452054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4583</v>
      </c>
      <c r="N51" s="117">
        <f t="shared" ref="N51:N65" si="16">O51*P51</f>
        <v>857400</v>
      </c>
      <c r="O51" s="69">
        <v>2000</v>
      </c>
      <c r="P51" s="69">
        <v>428.7</v>
      </c>
      <c r="Q51" s="169">
        <v>48217</v>
      </c>
      <c r="R51" s="215" t="s">
        <v>4926</v>
      </c>
      <c r="S51" s="198">
        <f>S50</f>
        <v>19</v>
      </c>
      <c r="T51" s="215" t="s">
        <v>4933</v>
      </c>
      <c r="U51" s="215">
        <v>400</v>
      </c>
      <c r="V51" s="215">
        <f t="shared" si="6"/>
        <v>410.31013698630136</v>
      </c>
      <c r="W51" s="32">
        <f t="shared" si="14"/>
        <v>418.51633972602741</v>
      </c>
      <c r="X51" s="32">
        <f t="shared" si="15"/>
        <v>426.72254246575341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4539</v>
      </c>
      <c r="N52" s="117">
        <f t="shared" si="16"/>
        <v>120679.20000000001</v>
      </c>
      <c r="O52" s="69">
        <v>888</v>
      </c>
      <c r="P52" s="69">
        <v>135.9</v>
      </c>
      <c r="Q52" s="169">
        <v>112288</v>
      </c>
      <c r="R52" s="215" t="s">
        <v>981</v>
      </c>
      <c r="S52" s="198">
        <f>S51-1</f>
        <v>18</v>
      </c>
      <c r="T52" s="215" t="s">
        <v>4935</v>
      </c>
      <c r="U52" s="215">
        <v>3605.5</v>
      </c>
      <c r="V52" s="215">
        <f t="shared" si="6"/>
        <v>3695.6671342465756</v>
      </c>
      <c r="W52" s="32">
        <f t="shared" si="14"/>
        <v>3769.5804769315073</v>
      </c>
      <c r="X52" s="32">
        <f t="shared" si="15"/>
        <v>3843.4938196164389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4569</v>
      </c>
      <c r="N53" s="117">
        <f t="shared" si="16"/>
        <v>64445.000000000007</v>
      </c>
      <c r="O53" s="69">
        <v>50</v>
      </c>
      <c r="P53" s="69">
        <v>1288.9000000000001</v>
      </c>
      <c r="Q53" s="169">
        <v>931614</v>
      </c>
      <c r="R53" s="215" t="s">
        <v>4941</v>
      </c>
      <c r="S53" s="198">
        <f>S52-8</f>
        <v>10</v>
      </c>
      <c r="T53" s="215" t="s">
        <v>4943</v>
      </c>
      <c r="U53" s="215">
        <v>4437</v>
      </c>
      <c r="V53" s="215">
        <f t="shared" si="6"/>
        <v>4520.7316602739729</v>
      </c>
      <c r="W53" s="32">
        <f t="shared" si="14"/>
        <v>4611.1462934794527</v>
      </c>
      <c r="X53" s="32">
        <f t="shared" si="15"/>
        <v>4701.5609266849324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206640646</v>
      </c>
      <c r="O54" s="69">
        <v>33238</v>
      </c>
      <c r="P54" s="69">
        <v>6217</v>
      </c>
      <c r="Q54" s="169">
        <v>533965</v>
      </c>
      <c r="R54" s="215" t="s">
        <v>4986</v>
      </c>
      <c r="S54" s="198">
        <f>S53-12</f>
        <v>-2</v>
      </c>
      <c r="T54" s="215" t="s">
        <v>4987</v>
      </c>
      <c r="U54" s="215">
        <v>4429.2</v>
      </c>
      <c r="V54" s="215">
        <f t="shared" si="6"/>
        <v>4472.0115550684932</v>
      </c>
      <c r="W54" s="32">
        <f t="shared" si="14"/>
        <v>4561.4517861698632</v>
      </c>
      <c r="X54" s="32">
        <f t="shared" si="15"/>
        <v>4650.8920172712333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4932</v>
      </c>
      <c r="N55" s="113">
        <f t="shared" si="16"/>
        <v>85440</v>
      </c>
      <c r="O55" s="69">
        <v>120</v>
      </c>
      <c r="P55" s="69">
        <v>712</v>
      </c>
      <c r="Q55" s="169"/>
      <c r="R55" s="168"/>
      <c r="S55" s="168"/>
      <c r="T55" s="168"/>
      <c r="U55" s="168"/>
      <c r="V55" s="215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4410</v>
      </c>
      <c r="N56" s="117">
        <f t="shared" si="16"/>
        <v>69564766</v>
      </c>
      <c r="O56" s="69">
        <v>106580</v>
      </c>
      <c r="P56" s="69">
        <v>652.70000000000005</v>
      </c>
      <c r="Q56" s="169">
        <f>SUM(N21:N28)-SUM(Q20:Q55)</f>
        <v>42791844.399999976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9" t="s">
        <v>4538</v>
      </c>
      <c r="N57" s="117">
        <f t="shared" si="16"/>
        <v>36794458</v>
      </c>
      <c r="O57" s="69">
        <v>8180</v>
      </c>
      <c r="P57" s="69">
        <v>4498.1000000000004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4537</v>
      </c>
      <c r="N58" s="117">
        <f t="shared" si="16"/>
        <v>16625947.5</v>
      </c>
      <c r="O58" s="69">
        <v>2913</v>
      </c>
      <c r="P58" s="69">
        <v>5707.5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21" t="s">
        <v>4614</v>
      </c>
      <c r="N59" s="117">
        <f t="shared" si="16"/>
        <v>4520640</v>
      </c>
      <c r="O59" s="69">
        <v>5100</v>
      </c>
      <c r="P59" s="69">
        <v>886.4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4296</v>
      </c>
      <c r="N60" s="117">
        <f>O60*P60</f>
        <v>2456646.7000000002</v>
      </c>
      <c r="O60" s="69">
        <v>6997</v>
      </c>
      <c r="P60" s="69">
        <v>351.1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4587</v>
      </c>
      <c r="N61" s="113">
        <f t="shared" si="16"/>
        <v>236143.59999999998</v>
      </c>
      <c r="O61" s="69">
        <v>1148</v>
      </c>
      <c r="P61" s="69">
        <v>205.7</v>
      </c>
      <c r="Q61" s="168">
        <v>0</v>
      </c>
      <c r="R61" s="168" t="s">
        <v>4172</v>
      </c>
      <c r="S61" s="168">
        <f>S88</f>
        <v>195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4630</v>
      </c>
      <c r="N62" s="117">
        <f t="shared" si="16"/>
        <v>1409100</v>
      </c>
      <c r="O62" s="69">
        <v>5500</v>
      </c>
      <c r="P62" s="69">
        <v>256.2</v>
      </c>
      <c r="Q62" s="169">
        <v>863944</v>
      </c>
      <c r="R62" s="168" t="s">
        <v>4438</v>
      </c>
      <c r="S62" s="168">
        <f>S61-62</f>
        <v>133</v>
      </c>
      <c r="T62" s="191" t="s">
        <v>4510</v>
      </c>
      <c r="U62" s="168">
        <v>184.6</v>
      </c>
      <c r="V62" s="168">
        <f t="shared" ref="V62:V79" si="17">U62*(1+$N$96+$Q$15*S62/36500)</f>
        <v>205.50177753424657</v>
      </c>
      <c r="W62" s="32">
        <f t="shared" ref="W62:W79" si="18">V62*(1+$W$19/100)</f>
        <v>209.6118130849315</v>
      </c>
      <c r="X62" s="32">
        <f t="shared" ref="X62:X79" si="19">V62*(1+$X$19/100)</f>
        <v>213.72184863561645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/>
      <c r="L63" s="117"/>
      <c r="M63" s="19" t="s">
        <v>4179</v>
      </c>
      <c r="N63" s="113">
        <f t="shared" si="16"/>
        <v>244141788</v>
      </c>
      <c r="O63" s="99">
        <v>1290390</v>
      </c>
      <c r="P63" s="99">
        <v>189.2</v>
      </c>
      <c r="Q63" s="169">
        <v>1692313</v>
      </c>
      <c r="R63" s="168" t="s">
        <v>4513</v>
      </c>
      <c r="S63" s="198">
        <f>S62-21</f>
        <v>112</v>
      </c>
      <c r="T63" s="190" t="s">
        <v>4514</v>
      </c>
      <c r="U63" s="168">
        <v>168.5</v>
      </c>
      <c r="V63" s="168">
        <f t="shared" si="17"/>
        <v>184.86435068493151</v>
      </c>
      <c r="W63" s="32">
        <f t="shared" si="18"/>
        <v>188.56163769863014</v>
      </c>
      <c r="X63" s="32">
        <f t="shared" si="19"/>
        <v>192.25892471232876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56"/>
      <c r="L64" s="117"/>
      <c r="M64" s="19" t="s">
        <v>4910</v>
      </c>
      <c r="N64" s="113">
        <f t="shared" si="16"/>
        <v>74951.7</v>
      </c>
      <c r="O64" s="99">
        <v>229</v>
      </c>
      <c r="P64" s="99">
        <v>327.3</v>
      </c>
      <c r="Q64" s="169">
        <v>101153</v>
      </c>
      <c r="R64" s="168" t="s">
        <v>4516</v>
      </c>
      <c r="S64" s="198">
        <f>S63-1</f>
        <v>111</v>
      </c>
      <c r="T64" s="190" t="s">
        <v>4518</v>
      </c>
      <c r="U64" s="168">
        <v>166.7</v>
      </c>
      <c r="V64" s="168">
        <f t="shared" si="17"/>
        <v>182.7616591780822</v>
      </c>
      <c r="W64" s="32">
        <f t="shared" si="18"/>
        <v>186.41689236164385</v>
      </c>
      <c r="X64" s="32">
        <f t="shared" si="19"/>
        <v>190.07212554520549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117"/>
      <c r="M65" s="21" t="s">
        <v>1086</v>
      </c>
      <c r="N65" s="117">
        <f t="shared" si="16"/>
        <v>0</v>
      </c>
      <c r="O65" s="69">
        <v>0</v>
      </c>
      <c r="P65" s="69">
        <v>489000</v>
      </c>
      <c r="Q65" s="169">
        <v>183105</v>
      </c>
      <c r="R65" s="168" t="s">
        <v>4231</v>
      </c>
      <c r="S65" s="198">
        <f>S64-1</f>
        <v>110</v>
      </c>
      <c r="T65" s="190" t="s">
        <v>4522</v>
      </c>
      <c r="U65" s="168">
        <v>166.6</v>
      </c>
      <c r="V65" s="168">
        <f t="shared" si="17"/>
        <v>182.524221369863</v>
      </c>
      <c r="W65" s="32">
        <f t="shared" si="18"/>
        <v>186.17470579726026</v>
      </c>
      <c r="X65" s="32">
        <f t="shared" si="19"/>
        <v>189.82519022465752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99"/>
      <c r="L66" s="117"/>
      <c r="M66" s="73"/>
      <c r="N66" s="117"/>
      <c r="O66" s="122"/>
      <c r="P66" s="122"/>
      <c r="Q66" s="169">
        <v>168846</v>
      </c>
      <c r="R66" s="168" t="s">
        <v>3691</v>
      </c>
      <c r="S66" s="198">
        <f>S65-30</f>
        <v>80</v>
      </c>
      <c r="T66" s="190" t="s">
        <v>4622</v>
      </c>
      <c r="U66" s="168">
        <v>172.2</v>
      </c>
      <c r="V66" s="168">
        <f t="shared" si="17"/>
        <v>184.69653041095893</v>
      </c>
      <c r="W66" s="32">
        <f t="shared" si="18"/>
        <v>188.3904610191781</v>
      </c>
      <c r="X66" s="32">
        <f t="shared" si="19"/>
        <v>192.08439162739728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168" t="s">
        <v>1152</v>
      </c>
      <c r="N67" s="117">
        <v>14908</v>
      </c>
      <c r="O67" s="96"/>
      <c r="P67" t="s">
        <v>25</v>
      </c>
      <c r="Q67" s="169">
        <v>250962</v>
      </c>
      <c r="R67" s="168" t="s">
        <v>4665</v>
      </c>
      <c r="S67" s="198">
        <f>S66-10</f>
        <v>70</v>
      </c>
      <c r="T67" s="190" t="s">
        <v>4666</v>
      </c>
      <c r="U67" s="168">
        <v>5315.5</v>
      </c>
      <c r="V67" s="168">
        <f t="shared" si="17"/>
        <v>5660.4686684931521</v>
      </c>
      <c r="W67" s="32">
        <f t="shared" si="18"/>
        <v>5773.6780418630151</v>
      </c>
      <c r="X67" s="32">
        <f t="shared" si="19"/>
        <v>5886.8874152328781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99"/>
      <c r="L68" s="99"/>
      <c r="M68" s="168" t="s">
        <v>1153</v>
      </c>
      <c r="N68" s="117">
        <v>5282</v>
      </c>
      <c r="O68" s="96"/>
      <c r="P68" t="s">
        <v>25</v>
      </c>
      <c r="Q68" s="169">
        <v>352231</v>
      </c>
      <c r="R68" s="215" t="s">
        <v>4715</v>
      </c>
      <c r="S68" s="198">
        <f>S67-7</f>
        <v>63</v>
      </c>
      <c r="T68" s="190" t="s">
        <v>4717</v>
      </c>
      <c r="U68" s="215">
        <v>502.3</v>
      </c>
      <c r="V68" s="215">
        <f t="shared" si="17"/>
        <v>532.20129972602751</v>
      </c>
      <c r="W68" s="32">
        <f t="shared" si="18"/>
        <v>542.84532572054809</v>
      </c>
      <c r="X68" s="32">
        <f t="shared" si="19"/>
        <v>553.48935171506866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O69" s="115"/>
      <c r="P69" s="115"/>
      <c r="Q69" s="169">
        <v>165067</v>
      </c>
      <c r="R69" s="215" t="s">
        <v>4765</v>
      </c>
      <c r="S69" s="198">
        <f>S68-16</f>
        <v>47</v>
      </c>
      <c r="T69" s="190" t="s">
        <v>4773</v>
      </c>
      <c r="U69" s="215">
        <v>3095.9</v>
      </c>
      <c r="V69" s="215">
        <f t="shared" si="17"/>
        <v>3242.1961183561652</v>
      </c>
      <c r="W69" s="32">
        <f t="shared" si="18"/>
        <v>3307.0400407232887</v>
      </c>
      <c r="X69" s="32">
        <f t="shared" si="19"/>
        <v>3371.8839630904122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25</v>
      </c>
      <c r="L70" s="117"/>
      <c r="M70" s="168" t="s">
        <v>4180</v>
      </c>
      <c r="N70" s="113">
        <f>-O70*P70</f>
        <v>-10158904.799999999</v>
      </c>
      <c r="O70" s="99">
        <v>53694</v>
      </c>
      <c r="P70" s="99">
        <f>P63</f>
        <v>189.2</v>
      </c>
      <c r="Q70" s="169">
        <v>62110</v>
      </c>
      <c r="R70" s="215" t="s">
        <v>4906</v>
      </c>
      <c r="S70" s="198">
        <f>S69-26</f>
        <v>21</v>
      </c>
      <c r="T70" s="190" t="s">
        <v>4911</v>
      </c>
      <c r="U70" s="215">
        <v>270</v>
      </c>
      <c r="V70" s="215">
        <f t="shared" si="17"/>
        <v>277.3735890410959</v>
      </c>
      <c r="W70" s="32">
        <f t="shared" si="18"/>
        <v>282.92106082191782</v>
      </c>
      <c r="X70" s="32">
        <f t="shared" si="19"/>
        <v>288.46853260273974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/>
      <c r="N71" s="113"/>
      <c r="Q71" s="169">
        <v>48217</v>
      </c>
      <c r="R71" s="215" t="s">
        <v>4926</v>
      </c>
      <c r="S71" s="198">
        <f>S70-2</f>
        <v>19</v>
      </c>
      <c r="T71" s="190" t="s">
        <v>4933</v>
      </c>
      <c r="U71" s="215">
        <v>400</v>
      </c>
      <c r="V71" s="215">
        <f t="shared" si="17"/>
        <v>410.31013698630136</v>
      </c>
      <c r="W71" s="32">
        <f t="shared" si="18"/>
        <v>418.51633972602741</v>
      </c>
      <c r="X71" s="32">
        <f t="shared" si="19"/>
        <v>426.72254246575341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Q72" s="169">
        <v>115911</v>
      </c>
      <c r="R72" s="215" t="s">
        <v>981</v>
      </c>
      <c r="S72" s="198">
        <f>S71-1</f>
        <v>18</v>
      </c>
      <c r="T72" s="190" t="s">
        <v>4936</v>
      </c>
      <c r="U72" s="215">
        <v>3605.5</v>
      </c>
      <c r="V72" s="215">
        <f t="shared" si="17"/>
        <v>3695.6671342465756</v>
      </c>
      <c r="W72" s="32">
        <f t="shared" si="18"/>
        <v>3769.5804769315073</v>
      </c>
      <c r="X72" s="32">
        <f t="shared" si="19"/>
        <v>3843.4938196164389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/>
      <c r="L73" s="117"/>
      <c r="M73" s="168" t="s">
        <v>4446</v>
      </c>
      <c r="N73" s="113">
        <f>-S179</f>
        <v>-14284391.555749532</v>
      </c>
      <c r="Q73" s="169">
        <v>102339</v>
      </c>
      <c r="R73" s="215" t="s">
        <v>4941</v>
      </c>
      <c r="S73" s="198">
        <f>S72-8</f>
        <v>10</v>
      </c>
      <c r="T73" s="190" t="s">
        <v>4942</v>
      </c>
      <c r="U73" s="215">
        <v>4429</v>
      </c>
      <c r="V73" s="215">
        <f t="shared" si="17"/>
        <v>4512.5806904109595</v>
      </c>
      <c r="W73" s="32">
        <f t="shared" si="18"/>
        <v>4602.8323042191787</v>
      </c>
      <c r="X73" s="32">
        <f t="shared" si="19"/>
        <v>4693.0839180273979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/>
      <c r="L74" s="117"/>
      <c r="M74" s="168" t="s">
        <v>4739</v>
      </c>
      <c r="N74" s="113">
        <f>50*P65</f>
        <v>24450000</v>
      </c>
      <c r="P74" t="s">
        <v>25</v>
      </c>
      <c r="Q74" s="169">
        <v>3792615</v>
      </c>
      <c r="R74" s="5" t="s">
        <v>4957</v>
      </c>
      <c r="S74" s="198">
        <f>S73-4</f>
        <v>6</v>
      </c>
      <c r="T74" s="190" t="s">
        <v>4960</v>
      </c>
      <c r="U74" s="215">
        <v>3775.1</v>
      </c>
      <c r="V74" s="215">
        <f t="shared" si="17"/>
        <v>3834.7569227397262</v>
      </c>
      <c r="W74" s="32">
        <f t="shared" si="18"/>
        <v>3911.4520611945209</v>
      </c>
      <c r="X74" s="32">
        <f t="shared" si="19"/>
        <v>3988.1471996493156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168"/>
      <c r="L75" s="117"/>
      <c r="M75" s="168"/>
      <c r="N75" s="113"/>
      <c r="P75" t="s">
        <v>25</v>
      </c>
      <c r="Q75" s="169">
        <v>6278475</v>
      </c>
      <c r="R75" s="5" t="s">
        <v>4957</v>
      </c>
      <c r="S75" s="198">
        <f>S74</f>
        <v>6</v>
      </c>
      <c r="T75" s="190" t="s">
        <v>4961</v>
      </c>
      <c r="U75" s="215">
        <v>6250.1</v>
      </c>
      <c r="V75" s="215">
        <f t="shared" si="17"/>
        <v>6348.868703561644</v>
      </c>
      <c r="W75" s="32">
        <f t="shared" si="18"/>
        <v>6475.8460776328766</v>
      </c>
      <c r="X75" s="32">
        <f t="shared" si="19"/>
        <v>6602.8234517041101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K76" s="168" t="s">
        <v>598</v>
      </c>
      <c r="L76" s="113">
        <f>SUM(L16:L59)</f>
        <v>455824522.46961331</v>
      </c>
      <c r="M76" s="168"/>
      <c r="N76" s="113">
        <f>SUM(N16:N75)</f>
        <v>516079366.37463713</v>
      </c>
      <c r="Q76" s="169">
        <v>13517</v>
      </c>
      <c r="R76" s="5" t="s">
        <v>4957</v>
      </c>
      <c r="S76" s="198">
        <f>S75</f>
        <v>6</v>
      </c>
      <c r="T76" s="190" t="s">
        <v>4962</v>
      </c>
      <c r="U76" s="215">
        <v>4485.1000000000004</v>
      </c>
      <c r="V76" s="215">
        <f t="shared" si="17"/>
        <v>4555.9768679452063</v>
      </c>
      <c r="W76" s="32">
        <f t="shared" si="18"/>
        <v>4647.0964053041107</v>
      </c>
      <c r="X76" s="32">
        <f t="shared" si="19"/>
        <v>4738.2159426630151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K77" s="168" t="s">
        <v>599</v>
      </c>
      <c r="L77" s="113">
        <f>L16+L17+L28</f>
        <v>621510</v>
      </c>
      <c r="M77" s="168"/>
      <c r="N77" s="113">
        <f>N16+N17+N41</f>
        <v>641053</v>
      </c>
      <c r="Q77" s="169">
        <v>19918023</v>
      </c>
      <c r="R77" s="5" t="s">
        <v>4957</v>
      </c>
      <c r="S77" s="198">
        <f>S76</f>
        <v>6</v>
      </c>
      <c r="T77" s="190" t="s">
        <v>4963</v>
      </c>
      <c r="U77" s="215">
        <v>183</v>
      </c>
      <c r="V77" s="215">
        <f t="shared" si="17"/>
        <v>185.89190136986301</v>
      </c>
      <c r="W77" s="32">
        <f t="shared" si="18"/>
        <v>189.60973939726026</v>
      </c>
      <c r="X77" s="32">
        <f t="shared" si="19"/>
        <v>193.32757742465753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K78" s="56" t="s">
        <v>716</v>
      </c>
      <c r="L78" s="1">
        <f>L76+N7</f>
        <v>525824522.46961331</v>
      </c>
      <c r="M78" s="113"/>
      <c r="N78" s="168"/>
      <c r="O78" s="115"/>
      <c r="P78" s="115"/>
      <c r="Q78" s="169">
        <v>529520</v>
      </c>
      <c r="R78" s="5" t="s">
        <v>4986</v>
      </c>
      <c r="S78" s="198">
        <f>S77-8</f>
        <v>-2</v>
      </c>
      <c r="T78" s="190" t="s">
        <v>4988</v>
      </c>
      <c r="U78" s="215">
        <v>4429.2</v>
      </c>
      <c r="V78" s="215">
        <f t="shared" si="17"/>
        <v>4472.0115550684932</v>
      </c>
      <c r="W78" s="32">
        <f t="shared" si="18"/>
        <v>4561.4517861698632</v>
      </c>
      <c r="X78" s="32">
        <f t="shared" si="19"/>
        <v>4650.8920172712333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O79" s="96"/>
      <c r="P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/>
      <c r="O80" t="s">
        <v>25</v>
      </c>
      <c r="Q80" s="113">
        <f>SUM(N31:N37)-SUM(Q61:Q79)</f>
        <v>1281824.8999999985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25" t="s">
        <v>4080</v>
      </c>
      <c r="N81" s="99" t="s">
        <v>452</v>
      </c>
      <c r="O81" s="113">
        <f>O63*25</f>
        <v>32259750</v>
      </c>
      <c r="P81" s="115"/>
      <c r="R81" s="115"/>
      <c r="S81" s="115"/>
      <c r="T81" s="115" t="s">
        <v>25</v>
      </c>
      <c r="U81" s="115"/>
      <c r="V81" s="115"/>
      <c r="W81" s="195"/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77"/>
      <c r="N82" s="99" t="s">
        <v>1087</v>
      </c>
      <c r="O82" s="113">
        <f>O37*25</f>
        <v>3141975</v>
      </c>
      <c r="P82" s="115"/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96" t="s">
        <v>4868</v>
      </c>
      <c r="N83" s="99" t="s">
        <v>751</v>
      </c>
      <c r="O83" s="113">
        <f>O21*25</f>
        <v>2060725</v>
      </c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4411</v>
      </c>
      <c r="O84" s="114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4507</v>
      </c>
      <c r="N85" s="96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M86" s="122" t="s">
        <v>4577</v>
      </c>
      <c r="N86" s="96"/>
      <c r="P86" t="s">
        <v>25</v>
      </c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 ht="45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14" t="s">
        <v>4789</v>
      </c>
      <c r="L87" s="22" t="s">
        <v>4755</v>
      </c>
      <c r="M87" s="208" t="s">
        <v>4730</v>
      </c>
      <c r="N87" s="96"/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4790</v>
      </c>
      <c r="M88" s="122"/>
      <c r="N88" s="96"/>
      <c r="P88" s="115" t="s">
        <v>25</v>
      </c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U88*(1+$N$96+$Q$15*S88/36500)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4580</v>
      </c>
      <c r="L89" s="96"/>
      <c r="M89" s="122"/>
      <c r="O89" t="s">
        <v>25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4869</v>
      </c>
      <c r="M90" s="96">
        <f>O63+O21+O37-O70</f>
        <v>1444804</v>
      </c>
      <c r="N90" s="113">
        <f>M90*P63</f>
        <v>273356916.80000001</v>
      </c>
      <c r="P90" s="115"/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4870</v>
      </c>
      <c r="M91" t="s">
        <v>4267</v>
      </c>
      <c r="P91" s="115"/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4871</v>
      </c>
      <c r="M92" t="s">
        <v>4582</v>
      </c>
      <c r="N92" t="s">
        <v>25</v>
      </c>
      <c r="P92" s="115"/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4540</v>
      </c>
      <c r="P93" s="115"/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4586</v>
      </c>
      <c r="M94" t="s">
        <v>949</v>
      </c>
      <c r="N94">
        <v>6.3E-3</v>
      </c>
      <c r="P94" s="115"/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4539</v>
      </c>
      <c r="M95" t="s">
        <v>61</v>
      </c>
      <c r="N95">
        <v>4.8999999999999998E-3</v>
      </c>
      <c r="P95" s="115"/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22" t="s">
        <v>4243</v>
      </c>
      <c r="M96" t="s">
        <v>6</v>
      </c>
      <c r="N96">
        <f>N94+N95</f>
        <v>1.12E-2</v>
      </c>
      <c r="O96" t="s">
        <v>25</v>
      </c>
      <c r="P96" t="s">
        <v>25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4536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25</v>
      </c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s="194" t="s">
        <v>4535</v>
      </c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M101" t="s">
        <v>4536</v>
      </c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/>
      <c r="K102" s="96"/>
      <c r="M102" t="s">
        <v>4539</v>
      </c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I103" s="96"/>
      <c r="J103" s="96"/>
      <c r="K103" s="96"/>
      <c r="M103" t="s">
        <v>4540</v>
      </c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 t="s">
        <v>25</v>
      </c>
      <c r="I104" s="96"/>
      <c r="J104" s="96"/>
      <c r="K104" s="96"/>
      <c r="L104" s="96"/>
      <c r="M104" s="96"/>
      <c r="N104" s="96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L105" s="96"/>
      <c r="M105" s="96"/>
      <c r="N105" s="96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 t="s">
        <v>25</v>
      </c>
      <c r="K108" s="96"/>
      <c r="P108" s="115"/>
      <c r="Q108" s="169">
        <v>60508</v>
      </c>
      <c r="R108" s="168" t="s">
        <v>4624</v>
      </c>
      <c r="S108" s="168">
        <f>S107-3</f>
        <v>77</v>
      </c>
      <c r="T108" s="168" t="s">
        <v>4989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96"/>
      <c r="G109" s="96"/>
      <c r="H109" s="96"/>
      <c r="I109" s="96"/>
      <c r="J109" s="96"/>
      <c r="K109" s="96"/>
      <c r="P109" s="128"/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96"/>
      <c r="G110" s="96"/>
      <c r="H110" s="96"/>
      <c r="I110" s="96"/>
      <c r="J110" s="96"/>
      <c r="K110" s="96"/>
      <c r="P110" s="128"/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6" si="25">V110*(1+$W$19/100)</f>
        <v>3715.4670099287678</v>
      </c>
      <c r="X110" s="32">
        <f t="shared" ref="X110:X166" si="26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96"/>
      <c r="G111" s="96"/>
      <c r="H111" s="96"/>
      <c r="I111" s="96"/>
      <c r="J111" s="96"/>
      <c r="L111" s="96"/>
      <c r="M111" s="96"/>
      <c r="N111" s="96"/>
      <c r="P111" s="115"/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5"/>
        <v>236.83252234520552</v>
      </c>
      <c r="X111" s="32">
        <f t="shared" si="26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5"/>
        <v>4909.5567333698637</v>
      </c>
      <c r="X112" s="32">
        <f t="shared" si="26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5"/>
        <v>3621.6689031452065</v>
      </c>
      <c r="X113" s="32">
        <f t="shared" si="26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 t="s">
        <v>4720</v>
      </c>
      <c r="G114" s="215" t="s">
        <v>941</v>
      </c>
      <c r="H114" s="215" t="s">
        <v>4699</v>
      </c>
      <c r="I114" s="215" t="s">
        <v>4698</v>
      </c>
      <c r="J114" s="32" t="s">
        <v>4541</v>
      </c>
      <c r="K114" s="215" t="s">
        <v>4687</v>
      </c>
      <c r="L114" s="32" t="s">
        <v>4689</v>
      </c>
      <c r="M114" s="32" t="s">
        <v>4657</v>
      </c>
      <c r="N114" s="215" t="s">
        <v>4658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5"/>
        <v>5722.9628795178087</v>
      </c>
      <c r="X114" s="32">
        <f t="shared" si="26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>
        <f t="shared" ref="F115:F120" si="27">$L$126/G115</f>
        <v>25845.665961945033</v>
      </c>
      <c r="G115" s="200">
        <f>P63</f>
        <v>189.2</v>
      </c>
      <c r="H115" s="200" t="s">
        <v>4849</v>
      </c>
      <c r="I115" s="200" t="s">
        <v>4848</v>
      </c>
      <c r="J115" s="216" t="s">
        <v>4243</v>
      </c>
      <c r="K115" s="200">
        <v>61</v>
      </c>
      <c r="L115" s="217">
        <f t="shared" ref="L115:L123" si="28">K115*$L$126</f>
        <v>298290000</v>
      </c>
      <c r="M115" s="217">
        <f>N21+N37+N63</f>
        <v>283515821.60000002</v>
      </c>
      <c r="N115" s="184">
        <f t="shared" ref="N115:N123" si="29">L115-M115</f>
        <v>14774178.399999976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5"/>
        <v>405.22944526027402</v>
      </c>
      <c r="X115" s="32">
        <f t="shared" si="26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>
        <f t="shared" si="27"/>
        <v>786.55299983915074</v>
      </c>
      <c r="G116" s="215">
        <f>P54</f>
        <v>6217</v>
      </c>
      <c r="H116" s="215" t="s">
        <v>4703</v>
      </c>
      <c r="I116" s="215" t="s">
        <v>4702</v>
      </c>
      <c r="J116" s="32" t="s">
        <v>4395</v>
      </c>
      <c r="K116" s="215">
        <v>34</v>
      </c>
      <c r="L116" s="1">
        <f t="shared" si="28"/>
        <v>166260000</v>
      </c>
      <c r="M116" s="1">
        <f>N28+N54+N31</f>
        <v>224514521</v>
      </c>
      <c r="N116" s="113">
        <f t="shared" si="29"/>
        <v>-58254521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5"/>
        <v>5806.1100624657538</v>
      </c>
      <c r="X116" s="32">
        <f t="shared" si="26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>
        <f t="shared" si="27"/>
        <v>1276.1959443589008</v>
      </c>
      <c r="G117" s="200">
        <f>P50</f>
        <v>3831.7</v>
      </c>
      <c r="H117" s="200" t="s">
        <v>3881</v>
      </c>
      <c r="I117" s="200" t="s">
        <v>4704</v>
      </c>
      <c r="J117" s="216" t="s">
        <v>4391</v>
      </c>
      <c r="K117" s="200">
        <v>34</v>
      </c>
      <c r="L117" s="217">
        <f t="shared" si="28"/>
        <v>166260000</v>
      </c>
      <c r="M117" s="217">
        <f>N50+N33+N22</f>
        <v>224752195.19999999</v>
      </c>
      <c r="N117" s="184">
        <f t="shared" si="29"/>
        <v>-58492195.199999988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5"/>
        <v>543.46497376438356</v>
      </c>
      <c r="X117" s="32">
        <f t="shared" si="26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>
        <f t="shared" si="27"/>
        <v>7491.9564884326637</v>
      </c>
      <c r="G118" s="215">
        <f>P56</f>
        <v>652.70000000000005</v>
      </c>
      <c r="H118" s="215" t="s">
        <v>4701</v>
      </c>
      <c r="I118" s="215" t="s">
        <v>4700</v>
      </c>
      <c r="J118" s="32" t="s">
        <v>4410</v>
      </c>
      <c r="K118" s="215">
        <v>34</v>
      </c>
      <c r="L118" s="1">
        <f t="shared" si="28"/>
        <v>166260000</v>
      </c>
      <c r="M118" s="1">
        <f>N56+N24+N34</f>
        <v>170827907.5</v>
      </c>
      <c r="N118" s="113">
        <f t="shared" si="29"/>
        <v>-4567907.5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5"/>
        <v>788.9766912</v>
      </c>
      <c r="X118" s="32">
        <f t="shared" si="26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>
        <f t="shared" si="27"/>
        <v>856.76741130091989</v>
      </c>
      <c r="G119" s="200">
        <f>P58</f>
        <v>5707.5</v>
      </c>
      <c r="H119" s="200" t="s">
        <v>4705</v>
      </c>
      <c r="I119" s="200" t="s">
        <v>4704</v>
      </c>
      <c r="J119" s="216" t="s">
        <v>4537</v>
      </c>
      <c r="K119" s="200">
        <v>7</v>
      </c>
      <c r="L119" s="217">
        <f t="shared" si="28"/>
        <v>34230000</v>
      </c>
      <c r="M119" s="217">
        <f>N58</f>
        <v>16625947.5</v>
      </c>
      <c r="N119" s="184">
        <f t="shared" si="29"/>
        <v>17604052.5</v>
      </c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5"/>
        <v>5871.170918400001</v>
      </c>
      <c r="X119" s="32">
        <f t="shared" si="26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>
        <f t="shared" si="27"/>
        <v>1087.1256752851202</v>
      </c>
      <c r="G120" s="215">
        <f>P57</f>
        <v>4498.1000000000004</v>
      </c>
      <c r="H120" s="215" t="s">
        <v>4706</v>
      </c>
      <c r="I120" s="215" t="s">
        <v>4707</v>
      </c>
      <c r="J120" s="32" t="s">
        <v>4538</v>
      </c>
      <c r="K120" s="215">
        <v>34</v>
      </c>
      <c r="L120" s="1">
        <f t="shared" si="28"/>
        <v>166260000</v>
      </c>
      <c r="M120" s="1">
        <f>N57+N25</f>
        <v>128965025.10000001</v>
      </c>
      <c r="N120" s="113">
        <f t="shared" si="29"/>
        <v>37294974.899999991</v>
      </c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U120*(1+$N$96+$Q$15*S120/36500)</f>
        <v>5671.543614246576</v>
      </c>
      <c r="W120" s="32">
        <f t="shared" si="25"/>
        <v>5784.9744865315079</v>
      </c>
      <c r="X120" s="32">
        <f t="shared" si="26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31">
        <v>35433</v>
      </c>
      <c r="I121" s="200" t="s">
        <v>4702</v>
      </c>
      <c r="J121" s="216" t="s">
        <v>4614</v>
      </c>
      <c r="K121" s="200">
        <v>2</v>
      </c>
      <c r="L121" s="217">
        <f t="shared" si="28"/>
        <v>9780000</v>
      </c>
      <c r="M121" s="217">
        <f>N59</f>
        <v>4520640</v>
      </c>
      <c r="N121" s="113">
        <f t="shared" si="29"/>
        <v>5259360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5"/>
        <v>4236.9270883068502</v>
      </c>
      <c r="X121" s="32">
        <f t="shared" si="26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 t="s">
        <v>3881</v>
      </c>
      <c r="I122" s="215" t="s">
        <v>4847</v>
      </c>
      <c r="J122" s="32" t="s">
        <v>4296</v>
      </c>
      <c r="K122" s="215">
        <v>4</v>
      </c>
      <c r="L122" s="1">
        <f t="shared" si="28"/>
        <v>19560000</v>
      </c>
      <c r="M122" s="1">
        <f>N60</f>
        <v>2456646.7000000002</v>
      </c>
      <c r="N122" s="113">
        <f t="shared" si="29"/>
        <v>17103353.300000001</v>
      </c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5"/>
        <v>5621.9025225205478</v>
      </c>
      <c r="X122" s="32">
        <f t="shared" si="26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F123" s="200"/>
      <c r="G123" s="200"/>
      <c r="H123" s="200"/>
      <c r="I123" s="200"/>
      <c r="J123" s="216" t="s">
        <v>4670</v>
      </c>
      <c r="K123" s="200">
        <v>1</v>
      </c>
      <c r="L123" s="217">
        <f t="shared" si="28"/>
        <v>4890000</v>
      </c>
      <c r="M123" s="217">
        <f>N51+N53+N62+N61</f>
        <v>2567088.6</v>
      </c>
      <c r="N123" s="184">
        <f t="shared" si="29"/>
        <v>2322911.4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5"/>
        <v>5209.4859169315068</v>
      </c>
      <c r="X123" s="32">
        <f t="shared" si="26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F124" s="215"/>
      <c r="G124" s="215"/>
      <c r="H124" s="215"/>
      <c r="I124" s="215"/>
      <c r="J124" s="32" t="s">
        <v>4819</v>
      </c>
      <c r="K124" s="215"/>
      <c r="L124" s="1"/>
      <c r="M124" s="1"/>
      <c r="N124" s="113">
        <v>50000000</v>
      </c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5"/>
        <v>4038.0837120000006</v>
      </c>
      <c r="X124" s="32">
        <f t="shared" si="26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00"/>
      <c r="G125" s="200"/>
      <c r="H125" s="200"/>
      <c r="I125" s="200"/>
      <c r="J125" s="216" t="s">
        <v>4958</v>
      </c>
      <c r="K125" s="200">
        <f>SUM(K115:K123)</f>
        <v>211</v>
      </c>
      <c r="L125" s="217"/>
      <c r="M125" s="217"/>
      <c r="N125" s="184"/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5"/>
        <v>376.63759890410961</v>
      </c>
      <c r="X125" s="32">
        <f t="shared" si="26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/>
      <c r="G126" s="215"/>
      <c r="H126" s="215" t="s">
        <v>25</v>
      </c>
      <c r="I126" s="215"/>
      <c r="J126" s="32"/>
      <c r="K126" s="215">
        <v>8</v>
      </c>
      <c r="L126" s="39">
        <f>10*P65</f>
        <v>4890000</v>
      </c>
      <c r="M126" s="1">
        <f>K126*L126</f>
        <v>39120000</v>
      </c>
      <c r="N126" s="113">
        <f>SUM(N115:N124)-M126</f>
        <v>-16075793.200000022</v>
      </c>
      <c r="P126" s="114"/>
      <c r="Q126" s="169">
        <v>177438</v>
      </c>
      <c r="R126" s="212" t="s">
        <v>4685</v>
      </c>
      <c r="S126" s="212">
        <f t="shared" ref="S126:S129" si="33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5"/>
        <v>224.68194029589046</v>
      </c>
      <c r="X126" s="32">
        <f t="shared" si="26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200"/>
      <c r="G127" s="200"/>
      <c r="H127" s="200"/>
      <c r="I127" s="200"/>
      <c r="J127" s="216"/>
      <c r="K127" s="248" t="s">
        <v>4984</v>
      </c>
      <c r="L127" s="217" t="s">
        <v>4253</v>
      </c>
      <c r="M127" s="217" t="s">
        <v>4679</v>
      </c>
      <c r="N127" s="184" t="s">
        <v>4680</v>
      </c>
      <c r="Q127" s="35">
        <v>559461</v>
      </c>
      <c r="R127" s="5" t="s">
        <v>4685</v>
      </c>
      <c r="S127" s="5">
        <f t="shared" si="33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5"/>
        <v>550.70378130410973</v>
      </c>
      <c r="X127" s="32">
        <f t="shared" si="26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2"/>
        <v>-3036600</v>
      </c>
      <c r="AN127" s="149" t="s">
        <v>4649</v>
      </c>
    </row>
    <row r="128" spans="6:46">
      <c r="F128" s="215"/>
      <c r="G128" s="215"/>
      <c r="H128" s="215"/>
      <c r="I128" s="215"/>
      <c r="J128" s="32" t="s">
        <v>4688</v>
      </c>
      <c r="K128" s="215"/>
      <c r="L128" s="1"/>
      <c r="M128" s="1"/>
      <c r="N128" s="113"/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5"/>
        <v>3451.0842551671235</v>
      </c>
      <c r="X128" s="32">
        <f t="shared" si="26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4"/>
        <v>63</v>
      </c>
      <c r="AM128" s="189">
        <f t="shared" si="32"/>
        <v>2477619459</v>
      </c>
      <c r="AN128" s="89" t="s">
        <v>4650</v>
      </c>
    </row>
    <row r="129" spans="6:44">
      <c r="M129" t="s">
        <v>25</v>
      </c>
      <c r="Q129" s="169">
        <v>128675</v>
      </c>
      <c r="R129" s="212" t="s">
        <v>4685</v>
      </c>
      <c r="S129" s="212">
        <f t="shared" si="33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5"/>
        <v>758.58605891506841</v>
      </c>
      <c r="X129" s="32">
        <f t="shared" si="26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4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P130" s="114"/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5"/>
        <v>3444.6937656986302</v>
      </c>
      <c r="X130" s="32">
        <f t="shared" si="26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4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215" t="s">
        <v>4813</v>
      </c>
      <c r="K131" s="168" t="s">
        <v>4541</v>
      </c>
      <c r="L131" s="168" t="s">
        <v>4542</v>
      </c>
      <c r="M131" s="168" t="s">
        <v>4436</v>
      </c>
      <c r="N131" s="56" t="s">
        <v>190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5"/>
        <v>545.10749010410962</v>
      </c>
      <c r="X131" s="32">
        <f t="shared" si="26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4"/>
        <v>57</v>
      </c>
      <c r="AM131" s="117">
        <f t="shared" si="32"/>
        <v>270750000</v>
      </c>
      <c r="AN131" s="20"/>
    </row>
    <row r="132" spans="6:44">
      <c r="F132" s="215" t="s">
        <v>4363</v>
      </c>
      <c r="G132" s="215" t="s">
        <v>941</v>
      </c>
      <c r="H132" s="215" t="s">
        <v>4541</v>
      </c>
      <c r="I132" s="215" t="s">
        <v>937</v>
      </c>
      <c r="J132" s="215" t="s">
        <v>4814</v>
      </c>
      <c r="K132" s="168" t="s">
        <v>4243</v>
      </c>
      <c r="L132" s="169">
        <v>1100000</v>
      </c>
      <c r="M132" s="169">
        <v>1637000</v>
      </c>
      <c r="N132" s="168">
        <f t="shared" ref="N132:N140" si="35">(M132-L132)*100/L132</f>
        <v>48.81818181818182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5"/>
        <v>542.5211099178083</v>
      </c>
      <c r="X132" s="32">
        <f t="shared" si="26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4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F133" s="1">
        <v>3307.5</v>
      </c>
      <c r="G133" s="1">
        <f>P50</f>
        <v>3831.7</v>
      </c>
      <c r="H133" s="215" t="s">
        <v>4391</v>
      </c>
      <c r="I133" s="215">
        <v>3761</v>
      </c>
      <c r="J133" s="1">
        <f>I133*G133</f>
        <v>14411023.699999999</v>
      </c>
      <c r="K133" s="5" t="s">
        <v>4536</v>
      </c>
      <c r="L133" s="169">
        <v>1100000</v>
      </c>
      <c r="M133" s="169">
        <v>4748000</v>
      </c>
      <c r="N133" s="168">
        <f t="shared" si="35"/>
        <v>331.63636363636363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5"/>
        <v>520.20559351232873</v>
      </c>
      <c r="X133" s="32">
        <f t="shared" si="26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4"/>
        <v>56</v>
      </c>
      <c r="AM133" s="117">
        <f t="shared" si="32"/>
        <v>-54880000</v>
      </c>
      <c r="AN133" s="20"/>
    </row>
    <row r="134" spans="6:44">
      <c r="F134" s="1">
        <v>5249.5</v>
      </c>
      <c r="G134" s="1">
        <f>P54</f>
        <v>6217</v>
      </c>
      <c r="H134" s="215" t="s">
        <v>4395</v>
      </c>
      <c r="I134" s="215">
        <v>7163</v>
      </c>
      <c r="J134" s="1">
        <f>I134*G134</f>
        <v>44532371</v>
      </c>
      <c r="K134" s="5" t="s">
        <v>4537</v>
      </c>
      <c r="L134" s="169">
        <v>1100000</v>
      </c>
      <c r="M134" s="169">
        <v>5137000</v>
      </c>
      <c r="N134" s="168">
        <f t="shared" si="35"/>
        <v>367</v>
      </c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5"/>
        <v>3362.5372291068497</v>
      </c>
      <c r="X134" s="32">
        <f t="shared" si="26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4"/>
        <v>56</v>
      </c>
      <c r="AM134" s="90">
        <f t="shared" si="32"/>
        <v>744900240</v>
      </c>
      <c r="AN134" s="89" t="s">
        <v>4686</v>
      </c>
    </row>
    <row r="135" spans="6:44">
      <c r="F135" s="1">
        <v>519.79999999999995</v>
      </c>
      <c r="G135" s="1">
        <f>P56</f>
        <v>652.70000000000005</v>
      </c>
      <c r="H135" s="215" t="s">
        <v>4410</v>
      </c>
      <c r="I135" s="215">
        <v>0</v>
      </c>
      <c r="J135" s="1">
        <f>I135*G135</f>
        <v>0</v>
      </c>
      <c r="K135" s="19" t="s">
        <v>4391</v>
      </c>
      <c r="L135" s="169">
        <v>1100000</v>
      </c>
      <c r="M135" s="169">
        <v>4300000</v>
      </c>
      <c r="N135" s="168">
        <f t="shared" si="35"/>
        <v>290.90909090909093</v>
      </c>
      <c r="P135" s="114"/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5"/>
        <v>192.19740059178082</v>
      </c>
      <c r="X135" s="32">
        <f t="shared" si="26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4"/>
        <v>56</v>
      </c>
      <c r="AM135" s="117">
        <f t="shared" si="32"/>
        <v>22624000</v>
      </c>
      <c r="AN135" s="20" t="s">
        <v>4697</v>
      </c>
    </row>
    <row r="136" spans="6:44">
      <c r="F136" s="1">
        <v>4051</v>
      </c>
      <c r="G136" s="1">
        <f>P57</f>
        <v>4498.1000000000004</v>
      </c>
      <c r="H136" s="215" t="s">
        <v>4538</v>
      </c>
      <c r="I136" s="215">
        <v>130</v>
      </c>
      <c r="J136" s="1">
        <f>I136*G136</f>
        <v>584753</v>
      </c>
      <c r="K136" s="5" t="s">
        <v>4410</v>
      </c>
      <c r="L136" s="169">
        <v>1100000</v>
      </c>
      <c r="M136" s="169">
        <v>3191000</v>
      </c>
      <c r="N136" s="168">
        <f t="shared" si="35"/>
        <v>190.09090909090909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5"/>
        <v>3347.9678643287675</v>
      </c>
      <c r="X136" s="32">
        <f t="shared" si="26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4"/>
        <v>51</v>
      </c>
      <c r="AM136" s="90">
        <f t="shared" si="32"/>
        <v>218873028</v>
      </c>
      <c r="AN136" s="89" t="s">
        <v>4724</v>
      </c>
    </row>
    <row r="137" spans="6:44">
      <c r="F137" s="215"/>
      <c r="G137" s="215"/>
      <c r="H137" s="215"/>
      <c r="I137" s="215"/>
      <c r="J137" s="1">
        <f>SUM(J133:J136)</f>
        <v>59528147.700000003</v>
      </c>
      <c r="K137" s="5" t="s">
        <v>4538</v>
      </c>
      <c r="L137" s="169">
        <v>1100000</v>
      </c>
      <c r="M137" s="169">
        <v>5623000</v>
      </c>
      <c r="N137" s="168">
        <f t="shared" si="35"/>
        <v>411.18181818181819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5"/>
        <v>3336.842070969863</v>
      </c>
      <c r="X137" s="32">
        <f t="shared" si="26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4"/>
        <v>49</v>
      </c>
      <c r="AM137" s="117">
        <f t="shared" si="32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6</v>
      </c>
      <c r="K138" s="19" t="s">
        <v>4395</v>
      </c>
      <c r="L138" s="169">
        <v>1100000</v>
      </c>
      <c r="M138" s="169">
        <v>7728000</v>
      </c>
      <c r="N138" s="168">
        <f t="shared" si="35"/>
        <v>602.5454545454545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5"/>
        <v>523.1149979178083</v>
      </c>
      <c r="X138" s="32">
        <f t="shared" si="26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4"/>
        <v>44</v>
      </c>
      <c r="AM138" s="79">
        <f t="shared" si="32"/>
        <v>384536196</v>
      </c>
      <c r="AN138" s="121" t="s">
        <v>4669</v>
      </c>
    </row>
    <row r="139" spans="6:44">
      <c r="K139" s="5" t="s">
        <v>4540</v>
      </c>
      <c r="L139" s="169">
        <v>1100000</v>
      </c>
      <c r="M139" s="169">
        <v>2904000</v>
      </c>
      <c r="N139" s="168">
        <f t="shared" si="35"/>
        <v>164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5"/>
        <v>3306.1854808109597</v>
      </c>
      <c r="X139" s="32">
        <f t="shared" si="26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4"/>
        <v>42</v>
      </c>
      <c r="AM139" s="79">
        <f t="shared" si="32"/>
        <v>739001676</v>
      </c>
      <c r="AN139" s="121" t="s">
        <v>4742</v>
      </c>
    </row>
    <row r="140" spans="6:44">
      <c r="K140" s="56" t="s">
        <v>1086</v>
      </c>
      <c r="L140" s="169">
        <v>1100000</v>
      </c>
      <c r="M140" s="169">
        <v>3400000</v>
      </c>
      <c r="N140" s="168">
        <f t="shared" si="35"/>
        <v>209.09090909090909</v>
      </c>
      <c r="P140" s="114"/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5"/>
        <v>4953.3497118246587</v>
      </c>
      <c r="X140" s="32">
        <f t="shared" si="26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4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215" t="s">
        <v>4968</v>
      </c>
      <c r="K141" s="246" t="s">
        <v>4569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5"/>
        <v>4126.4561766575353</v>
      </c>
      <c r="X141" s="32">
        <f t="shared" si="26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 t="s">
        <v>4363</v>
      </c>
      <c r="G142" s="215" t="s">
        <v>941</v>
      </c>
      <c r="H142" s="215" t="s">
        <v>4541</v>
      </c>
      <c r="I142" s="215" t="s">
        <v>937</v>
      </c>
      <c r="J142" s="215" t="s">
        <v>4814</v>
      </c>
      <c r="K142" s="246" t="s">
        <v>4570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5"/>
        <v>3335.6794520547946</v>
      </c>
      <c r="X142" s="32">
        <f t="shared" si="26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2"/>
        <v>510000</v>
      </c>
      <c r="AN142" s="20"/>
    </row>
    <row r="143" spans="6:44">
      <c r="F143" s="1">
        <v>3775.1</v>
      </c>
      <c r="G143" s="1">
        <f>P50</f>
        <v>3831.7</v>
      </c>
      <c r="H143" s="215" t="s">
        <v>4391</v>
      </c>
      <c r="I143" s="215">
        <v>1000</v>
      </c>
      <c r="J143" s="1">
        <f>I143*G143</f>
        <v>3831700</v>
      </c>
      <c r="K143" s="246" t="s">
        <v>4571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5"/>
        <v>3512.36709369863</v>
      </c>
      <c r="X143" s="32">
        <f t="shared" si="26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4"/>
        <v>14</v>
      </c>
      <c r="AM143" s="117">
        <f t="shared" si="32"/>
        <v>8400000</v>
      </c>
      <c r="AN143" s="20"/>
      <c r="AR143" t="s">
        <v>25</v>
      </c>
    </row>
    <row r="144" spans="6:44">
      <c r="F144" s="1">
        <v>6250.1</v>
      </c>
      <c r="G144" s="1">
        <f>P54</f>
        <v>6217</v>
      </c>
      <c r="H144" s="215" t="s">
        <v>4969</v>
      </c>
      <c r="I144" s="215">
        <v>1000</v>
      </c>
      <c r="J144" s="1">
        <f t="shared" ref="J144:J146" si="36">I144*G144</f>
        <v>6217000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5"/>
        <v>5574.6548929315068</v>
      </c>
      <c r="X144" s="32">
        <f t="shared" si="26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6:44">
      <c r="F145" s="1">
        <v>183</v>
      </c>
      <c r="G145" s="1">
        <f>P63</f>
        <v>189.2</v>
      </c>
      <c r="H145" s="215" t="s">
        <v>4243</v>
      </c>
      <c r="I145" s="215">
        <v>108344</v>
      </c>
      <c r="J145" s="1">
        <f t="shared" si="36"/>
        <v>20498684.799999997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5"/>
        <v>4301.9196059178084</v>
      </c>
      <c r="X145" s="32">
        <f t="shared" si="26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6:44">
      <c r="F146" s="1">
        <v>4485.1000000000004</v>
      </c>
      <c r="G146" s="1">
        <f>P57</f>
        <v>4498.1000000000004</v>
      </c>
      <c r="H146" s="215" t="s">
        <v>4538</v>
      </c>
      <c r="I146" s="215">
        <v>3</v>
      </c>
      <c r="J146" s="1">
        <f t="shared" si="36"/>
        <v>13494.300000000001</v>
      </c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5"/>
        <v>5555.1605523287672</v>
      </c>
      <c r="X146" s="32">
        <f t="shared" si="26"/>
        <v>5664.0852690410966</v>
      </c>
      <c r="AH146" s="23">
        <v>126</v>
      </c>
      <c r="AI146" s="35" t="s">
        <v>4915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6:44">
      <c r="F147" s="215"/>
      <c r="G147" s="215"/>
      <c r="H147" s="215"/>
      <c r="I147" s="215"/>
      <c r="J147" s="1">
        <f>SUM(J143:J146)</f>
        <v>30560879.099999998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5"/>
        <v>567.53187208767145</v>
      </c>
      <c r="X147" s="32">
        <f t="shared" si="26"/>
        <v>578.65994801095906</v>
      </c>
      <c r="Y147" s="96"/>
      <c r="Z147" s="96"/>
      <c r="AH147" s="20">
        <v>127</v>
      </c>
      <c r="AI147" s="117" t="s">
        <v>4926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6:44">
      <c r="F148" s="215"/>
      <c r="G148" s="215"/>
      <c r="H148" s="215"/>
      <c r="I148" s="215"/>
      <c r="J148" s="215" t="s">
        <v>6</v>
      </c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5"/>
        <v>313.11481801643845</v>
      </c>
      <c r="X148" s="32">
        <f t="shared" si="26"/>
        <v>319.25432425205486</v>
      </c>
      <c r="Y148" s="96"/>
      <c r="Z148" s="96"/>
      <c r="AH148" s="99">
        <v>128</v>
      </c>
      <c r="AI148" s="113" t="s">
        <v>4941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6:44">
      <c r="M149">
        <v>236</v>
      </c>
      <c r="N149">
        <v>3</v>
      </c>
      <c r="O149">
        <f>M149*N149</f>
        <v>708</v>
      </c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5"/>
        <v>310.7332471232877</v>
      </c>
      <c r="X149" s="32">
        <f t="shared" si="26"/>
        <v>316.826055890411</v>
      </c>
      <c r="Y149" s="96"/>
      <c r="Z149" s="96"/>
      <c r="AH149" s="99">
        <v>129</v>
      </c>
      <c r="AI149" s="113" t="s">
        <v>4970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6:44">
      <c r="M150">
        <v>126</v>
      </c>
      <c r="N150">
        <v>1</v>
      </c>
      <c r="O150">
        <f>M150*N150</f>
        <v>126</v>
      </c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5"/>
        <v>5632.638934093151</v>
      </c>
      <c r="X150" s="32">
        <f t="shared" si="26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4972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4977</v>
      </c>
      <c r="AP150" t="s">
        <v>25</v>
      </c>
    </row>
    <row r="151" spans="6:44">
      <c r="L151">
        <v>821</v>
      </c>
      <c r="M151">
        <v>590</v>
      </c>
      <c r="N151">
        <v>0</v>
      </c>
      <c r="O151" s="96">
        <f>M151*N151</f>
        <v>0</v>
      </c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5"/>
        <v>320.44552280547947</v>
      </c>
      <c r="X151" s="32">
        <f t="shared" si="26"/>
        <v>326.72876835068496</v>
      </c>
      <c r="Y151" s="96"/>
      <c r="Z151" s="96"/>
      <c r="AA151" s="114"/>
      <c r="AC151" s="114"/>
      <c r="AH151" s="99">
        <v>131</v>
      </c>
      <c r="AI151" s="113" t="s">
        <v>4972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4976</v>
      </c>
    </row>
    <row r="152" spans="6:44">
      <c r="Q152" s="169">
        <v>62110</v>
      </c>
      <c r="R152" s="168" t="s">
        <v>4906</v>
      </c>
      <c r="S152" s="168">
        <f>S151-4</f>
        <v>21</v>
      </c>
      <c r="T152" s="168" t="s">
        <v>4911</v>
      </c>
      <c r="U152" s="168">
        <v>270</v>
      </c>
      <c r="V152" s="99">
        <f t="shared" ref="V152:V164" si="41">U152*(1+$N$96+$Q$15*S152/36500)</f>
        <v>277.3735890410959</v>
      </c>
      <c r="W152" s="32">
        <f t="shared" si="25"/>
        <v>282.92106082191782</v>
      </c>
      <c r="X152" s="32">
        <f t="shared" si="26"/>
        <v>288.46853260273974</v>
      </c>
      <c r="Y152" s="96"/>
      <c r="Z152" s="96"/>
      <c r="AA152" s="114"/>
      <c r="AC152" s="114"/>
      <c r="AD152" s="114"/>
      <c r="AH152" s="99">
        <v>132</v>
      </c>
      <c r="AI152" s="113" t="s">
        <v>4995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6:44">
      <c r="J153" t="s">
        <v>25</v>
      </c>
      <c r="O153">
        <f>O149+O150+O151</f>
        <v>834</v>
      </c>
      <c r="Q153" s="169">
        <v>101344</v>
      </c>
      <c r="R153" s="215" t="s">
        <v>4915</v>
      </c>
      <c r="S153" s="215">
        <f>S152-1</f>
        <v>20</v>
      </c>
      <c r="T153" s="215" t="s">
        <v>4918</v>
      </c>
      <c r="U153" s="215">
        <v>113.6</v>
      </c>
      <c r="V153" s="99">
        <f t="shared" si="41"/>
        <v>116.61522410958905</v>
      </c>
      <c r="W153" s="32">
        <f t="shared" si="25"/>
        <v>118.94752859178084</v>
      </c>
      <c r="X153" s="32">
        <f t="shared" si="26"/>
        <v>121.27983307397261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6:44">
      <c r="Q154" s="169">
        <v>2148718</v>
      </c>
      <c r="R154" s="215" t="s">
        <v>4915</v>
      </c>
      <c r="S154" s="215">
        <f>S153</f>
        <v>20</v>
      </c>
      <c r="T154" s="215" t="s">
        <v>4919</v>
      </c>
      <c r="U154" s="215">
        <v>3400.3</v>
      </c>
      <c r="V154" s="99">
        <f t="shared" si="41"/>
        <v>3490.5523463013706</v>
      </c>
      <c r="W154" s="32">
        <f t="shared" si="25"/>
        <v>3560.3633932273979</v>
      </c>
      <c r="X154" s="32">
        <f t="shared" si="26"/>
        <v>3630.1744401534256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6:44">
      <c r="Q155" s="169">
        <v>48217</v>
      </c>
      <c r="R155" s="215" t="s">
        <v>4926</v>
      </c>
      <c r="S155" s="215">
        <f>S154-1</f>
        <v>19</v>
      </c>
      <c r="T155" s="215" t="s">
        <v>4933</v>
      </c>
      <c r="U155" s="215">
        <v>400</v>
      </c>
      <c r="V155" s="99">
        <f t="shared" si="41"/>
        <v>410.31013698630136</v>
      </c>
      <c r="W155" s="32">
        <f t="shared" si="25"/>
        <v>418.51633972602741</v>
      </c>
      <c r="X155" s="32">
        <f t="shared" si="26"/>
        <v>426.72254246575341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6:44">
      <c r="Q156" s="169">
        <v>119669</v>
      </c>
      <c r="R156" s="215" t="s">
        <v>981</v>
      </c>
      <c r="S156" s="215">
        <f>S155-1</f>
        <v>18</v>
      </c>
      <c r="T156" s="215" t="s">
        <v>4937</v>
      </c>
      <c r="U156" s="215">
        <v>3609.6</v>
      </c>
      <c r="V156" s="99">
        <f t="shared" si="41"/>
        <v>3699.8696679452055</v>
      </c>
      <c r="W156" s="32">
        <f t="shared" si="25"/>
        <v>3773.8670613041095</v>
      </c>
      <c r="X156" s="32">
        <f t="shared" si="26"/>
        <v>3847.8644546630139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6:44">
      <c r="Q157" s="169">
        <v>102362</v>
      </c>
      <c r="R157" s="215" t="s">
        <v>4941</v>
      </c>
      <c r="S157" s="215">
        <f>S156-8</f>
        <v>10</v>
      </c>
      <c r="T157" s="215" t="s">
        <v>4944</v>
      </c>
      <c r="U157" s="215">
        <v>4430</v>
      </c>
      <c r="V157" s="99">
        <f t="shared" si="41"/>
        <v>4513.5995616438358</v>
      </c>
      <c r="W157" s="32">
        <f t="shared" si="25"/>
        <v>4603.8715528767125</v>
      </c>
      <c r="X157" s="32">
        <f t="shared" si="26"/>
        <v>4694.1435441095891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6:44">
      <c r="P158" s="114"/>
      <c r="Q158" s="169">
        <v>996877</v>
      </c>
      <c r="R158" s="215" t="s">
        <v>4970</v>
      </c>
      <c r="S158" s="215">
        <f>S157-10</f>
        <v>0</v>
      </c>
      <c r="T158" s="215" t="s">
        <v>4971</v>
      </c>
      <c r="U158" s="215">
        <v>4469.7</v>
      </c>
      <c r="V158" s="99">
        <f t="shared" si="41"/>
        <v>4519.7606400000004</v>
      </c>
      <c r="W158" s="32">
        <f t="shared" si="25"/>
        <v>4610.1558528000005</v>
      </c>
      <c r="X158" s="32">
        <f t="shared" si="26"/>
        <v>4700.5510656000006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6:44">
      <c r="Q159" s="169">
        <v>17086367</v>
      </c>
      <c r="R159" s="215" t="s">
        <v>4972</v>
      </c>
      <c r="S159" s="215">
        <f>S158-1</f>
        <v>-1</v>
      </c>
      <c r="T159" s="215" t="s">
        <v>4980</v>
      </c>
      <c r="U159" s="215">
        <v>3751.1</v>
      </c>
      <c r="V159" s="99">
        <f t="shared" si="41"/>
        <v>3790.2347638356168</v>
      </c>
      <c r="W159" s="32">
        <f t="shared" si="25"/>
        <v>3866.039459112329</v>
      </c>
      <c r="X159" s="32">
        <f t="shared" si="26"/>
        <v>3941.8441543890417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6:44">
      <c r="Q160" s="169">
        <v>26970108</v>
      </c>
      <c r="R160" s="215" t="s">
        <v>4972</v>
      </c>
      <c r="S160" s="215">
        <f>S159</f>
        <v>-1</v>
      </c>
      <c r="T160" s="215" t="s">
        <v>4981</v>
      </c>
      <c r="U160" s="215">
        <v>6110.2</v>
      </c>
      <c r="V160" s="99">
        <f t="shared" si="41"/>
        <v>6173.9469632876726</v>
      </c>
      <c r="W160" s="32">
        <f t="shared" si="25"/>
        <v>6297.4259025534266</v>
      </c>
      <c r="X160" s="32">
        <f t="shared" si="26"/>
        <v>6420.9048418191796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27144082</v>
      </c>
      <c r="R161" s="215" t="s">
        <v>4972</v>
      </c>
      <c r="S161" s="215">
        <f>S160</f>
        <v>-1</v>
      </c>
      <c r="T161" s="215" t="s">
        <v>4982</v>
      </c>
      <c r="U161" s="215">
        <v>4568.6000000000004</v>
      </c>
      <c r="V161" s="99">
        <f t="shared" si="41"/>
        <v>4616.2636405479461</v>
      </c>
      <c r="W161" s="32">
        <f t="shared" si="25"/>
        <v>4708.5889133589053</v>
      </c>
      <c r="X161" s="32">
        <f t="shared" si="26"/>
        <v>4800.9141861698645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6150141</v>
      </c>
      <c r="R162" s="215" t="s">
        <v>4972</v>
      </c>
      <c r="S162" s="215">
        <f>S161</f>
        <v>-1</v>
      </c>
      <c r="T162" s="215" t="s">
        <v>4983</v>
      </c>
      <c r="U162" s="215">
        <v>180.6</v>
      </c>
      <c r="V162" s="99">
        <f t="shared" si="41"/>
        <v>182.48417753424661</v>
      </c>
      <c r="W162" s="32">
        <f t="shared" si="25"/>
        <v>186.13386108493154</v>
      </c>
      <c r="X162" s="32">
        <f t="shared" si="26"/>
        <v>189.78354463561649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P163" s="114"/>
      <c r="Q163" s="169">
        <v>1664165</v>
      </c>
      <c r="R163" s="215" t="s">
        <v>4986</v>
      </c>
      <c r="S163" s="215">
        <f>S162-1</f>
        <v>-2</v>
      </c>
      <c r="T163" s="215" t="s">
        <v>4990</v>
      </c>
      <c r="U163" s="215">
        <v>4429.1000000000004</v>
      </c>
      <c r="V163" s="99">
        <f t="shared" si="41"/>
        <v>4471.9105884931514</v>
      </c>
      <c r="W163" s="32">
        <f t="shared" si="25"/>
        <v>4561.3488002630147</v>
      </c>
      <c r="X163" s="32">
        <f t="shared" si="26"/>
        <v>4650.787012032878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Q164" s="169">
        <v>2521445</v>
      </c>
      <c r="R164" s="215" t="s">
        <v>4995</v>
      </c>
      <c r="S164" s="215">
        <f>S163-5</f>
        <v>-7</v>
      </c>
      <c r="T164" s="215" t="s">
        <v>4999</v>
      </c>
      <c r="U164" s="215">
        <v>4450</v>
      </c>
      <c r="V164" s="99">
        <f t="shared" si="41"/>
        <v>4475.9441095890415</v>
      </c>
      <c r="W164" s="32">
        <f t="shared" si="25"/>
        <v>4565.4629917808224</v>
      </c>
      <c r="X164" s="32">
        <f t="shared" si="26"/>
        <v>4654.9818739726034</v>
      </c>
      <c r="AH164" s="99"/>
      <c r="AI164" s="113"/>
      <c r="AJ164" s="113"/>
      <c r="AK164" s="99"/>
      <c r="AL164" s="99">
        <f t="shared" si="34"/>
        <v>0</v>
      </c>
      <c r="AM164" s="117">
        <f t="shared" si="32"/>
        <v>0</v>
      </c>
      <c r="AN164" s="99"/>
    </row>
    <row r="165" spans="6:40">
      <c r="Q165" s="169"/>
      <c r="R165" s="215"/>
      <c r="S165" s="215"/>
      <c r="T165" s="215"/>
      <c r="U165" s="215"/>
      <c r="V165" s="99"/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Q166" s="169"/>
      <c r="R166" s="168"/>
      <c r="S166" s="168"/>
      <c r="T166" s="168"/>
      <c r="U166" s="168"/>
      <c r="V166" s="99">
        <f>U166*(1+$N$96+$Q$15*S166/36500)</f>
        <v>0</v>
      </c>
      <c r="W166" s="32">
        <f t="shared" si="25"/>
        <v>0</v>
      </c>
      <c r="X166" s="32">
        <f t="shared" si="26"/>
        <v>0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Q167" s="113">
        <f>SUM(N50:N65)-SUM(Q88:Q166)</f>
        <v>62467334.900000095</v>
      </c>
      <c r="R167" s="112"/>
      <c r="S167" s="112"/>
      <c r="T167" s="112"/>
      <c r="U167" s="168"/>
      <c r="V167" s="99" t="s">
        <v>25</v>
      </c>
      <c r="W167" s="32"/>
      <c r="X167" s="32"/>
      <c r="AH167" s="99"/>
      <c r="AI167" s="99"/>
      <c r="AJ167" s="99"/>
      <c r="AK167" s="99"/>
      <c r="AL167" s="99"/>
      <c r="AM167" s="99"/>
      <c r="AN167" s="99"/>
    </row>
    <row r="168" spans="6:40">
      <c r="Q168" s="26"/>
      <c r="R168" s="181"/>
      <c r="S168" s="181"/>
      <c r="T168" t="s">
        <v>25</v>
      </c>
      <c r="U168" s="96" t="s">
        <v>25</v>
      </c>
      <c r="V168" s="96" t="s">
        <v>25</v>
      </c>
      <c r="W168" s="96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F169" t="s">
        <v>4894</v>
      </c>
      <c r="G169">
        <v>1200</v>
      </c>
      <c r="H169" t="s">
        <v>4895</v>
      </c>
      <c r="R169" s="32" t="s">
        <v>4573</v>
      </c>
      <c r="S169" s="32" t="s">
        <v>950</v>
      </c>
      <c r="T169" t="s">
        <v>25</v>
      </c>
      <c r="U169" s="96" t="s">
        <v>25</v>
      </c>
      <c r="V169" s="96" t="s">
        <v>25</v>
      </c>
      <c r="W169" s="96" t="s">
        <v>25</v>
      </c>
      <c r="X169" s="122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G170">
        <v>1350</v>
      </c>
      <c r="H170" t="s">
        <v>4896</v>
      </c>
      <c r="R170" s="32">
        <v>2480</v>
      </c>
      <c r="S170" s="237">
        <v>13041741</v>
      </c>
      <c r="U170" s="96" t="s">
        <v>25</v>
      </c>
      <c r="V170" s="122" t="s">
        <v>25</v>
      </c>
      <c r="W170" s="96" t="s">
        <v>25</v>
      </c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G171">
        <v>1050</v>
      </c>
      <c r="H171" t="s">
        <v>4897</v>
      </c>
      <c r="Q171" t="s">
        <v>25</v>
      </c>
      <c r="R171" s="32">
        <v>1450</v>
      </c>
      <c r="S171" s="1">
        <f>S170*R171/R170</f>
        <v>7625211.4717741935</v>
      </c>
      <c r="U171" s="96" t="s">
        <v>25</v>
      </c>
      <c r="V171" s="122" t="s">
        <v>25</v>
      </c>
      <c r="W171" s="96" t="s">
        <v>25</v>
      </c>
      <c r="X171" t="s">
        <v>25</v>
      </c>
      <c r="AI171" t="s">
        <v>4064</v>
      </c>
      <c r="AJ171" s="114">
        <f>SUM(N48:N65)</f>
        <v>706193357.9000001</v>
      </c>
    </row>
    <row r="172" spans="6:40">
      <c r="P172" s="114"/>
      <c r="R172" s="32">
        <f>R170-R171</f>
        <v>1030</v>
      </c>
      <c r="S172" s="1">
        <f>R172*S170/R170</f>
        <v>5416529.5282258065</v>
      </c>
      <c r="V172" s="96"/>
      <c r="W172"/>
      <c r="X172" t="s">
        <v>25</v>
      </c>
      <c r="AI172" t="s">
        <v>4136</v>
      </c>
      <c r="AJ172" s="114">
        <f>AJ171-AJ165</f>
        <v>129629244.9000001</v>
      </c>
      <c r="AM172" t="s">
        <v>25</v>
      </c>
    </row>
    <row r="173" spans="6:40">
      <c r="P173" s="114"/>
      <c r="V173" s="96"/>
      <c r="W173"/>
      <c r="AI173" t="s">
        <v>943</v>
      </c>
      <c r="AJ173" s="114">
        <f>AN165</f>
        <v>34788917.332710937</v>
      </c>
      <c r="AN173" t="s">
        <v>25</v>
      </c>
    </row>
    <row r="174" spans="6:40">
      <c r="O174" s="96">
        <v>68796</v>
      </c>
      <c r="P174" s="114"/>
      <c r="Q174" s="99" t="s">
        <v>4463</v>
      </c>
      <c r="R174" s="99" t="s">
        <v>4465</v>
      </c>
      <c r="S174" s="99"/>
      <c r="T174" s="99" t="s">
        <v>4466</v>
      </c>
      <c r="U174" s="99"/>
      <c r="V174" s="99"/>
      <c r="W174" s="99" t="s">
        <v>4576</v>
      </c>
      <c r="AI174" t="s">
        <v>4065</v>
      </c>
      <c r="AJ174" s="114">
        <f>AJ171-AJ170</f>
        <v>94840327.567289114</v>
      </c>
      <c r="AN174" t="s">
        <v>25</v>
      </c>
    </row>
    <row r="175" spans="6:40">
      <c r="O175" s="96">
        <v>154791</v>
      </c>
      <c r="P175">
        <f>R178+8424</f>
        <v>1673729</v>
      </c>
      <c r="Q175" s="113">
        <v>1000</v>
      </c>
      <c r="R175" s="99">
        <v>0.25</v>
      </c>
      <c r="S175" s="99"/>
      <c r="T175" s="99">
        <f>1-R175</f>
        <v>0.75</v>
      </c>
      <c r="U175" s="99"/>
      <c r="V175" s="99"/>
      <c r="W175" s="99"/>
      <c r="Y175" t="s">
        <v>25</v>
      </c>
      <c r="AM175" t="s">
        <v>25</v>
      </c>
    </row>
    <row r="176" spans="6:40">
      <c r="Q176" s="168" t="s">
        <v>4450</v>
      </c>
      <c r="R176" s="168" t="s">
        <v>4468</v>
      </c>
      <c r="S176" s="168" t="s">
        <v>4470</v>
      </c>
      <c r="T176" s="168"/>
      <c r="U176" s="168" t="s">
        <v>4464</v>
      </c>
      <c r="V176" s="56" t="s">
        <v>4467</v>
      </c>
      <c r="W176" s="99"/>
      <c r="X176" s="115"/>
      <c r="AJ176" t="s">
        <v>25</v>
      </c>
    </row>
    <row r="177" spans="16:44">
      <c r="P177" s="114"/>
      <c r="Q177" s="168" t="s">
        <v>751</v>
      </c>
      <c r="R177" s="56">
        <v>1722368</v>
      </c>
      <c r="S177" s="113">
        <f>R177*$T$259</f>
        <v>516825874.19320244</v>
      </c>
      <c r="T177" s="168"/>
      <c r="U177" s="168">
        <f>$Q$175*$T$175*S177/$R$201</f>
        <v>365.19629877785036</v>
      </c>
      <c r="V177" s="95">
        <f>S177+U177</f>
        <v>516826239.38950121</v>
      </c>
      <c r="W177" s="99">
        <f>R177*100/U256</f>
        <v>48.692839837046712</v>
      </c>
      <c r="X177" s="219"/>
    </row>
    <row r="178" spans="16:44">
      <c r="Q178" s="168" t="s">
        <v>4452</v>
      </c>
      <c r="R178" s="56">
        <v>1665305</v>
      </c>
      <c r="S178" s="113">
        <f>R178*$T$259</f>
        <v>499703148.46961331</v>
      </c>
      <c r="T178" s="168"/>
      <c r="U178" s="215">
        <f>$Q$175*$T$175*S178/$R$201</f>
        <v>353.09714435953754</v>
      </c>
      <c r="V178" s="95">
        <f t="shared" ref="V178:V179" si="42">S178+U178</f>
        <v>499703501.56675768</v>
      </c>
      <c r="W178" s="99">
        <f>R178*100/U256</f>
        <v>47.079619247938346</v>
      </c>
      <c r="X178" s="115"/>
    </row>
    <row r="179" spans="16:44">
      <c r="P179" s="114"/>
      <c r="Q179" s="168" t="s">
        <v>4451</v>
      </c>
      <c r="R179" s="56">
        <v>47604</v>
      </c>
      <c r="S179" s="113">
        <f>R179*$T$259</f>
        <v>14284391.555749532</v>
      </c>
      <c r="T179" s="168"/>
      <c r="U179" s="215">
        <f>$Q$175*$T$175*S179/$R$201</f>
        <v>10.093548305020057</v>
      </c>
      <c r="V179" s="95">
        <f t="shared" si="42"/>
        <v>14284401.649297837</v>
      </c>
      <c r="W179" s="99">
        <f>R179*100/U256</f>
        <v>1.3458064406693411</v>
      </c>
      <c r="X179" s="115"/>
    </row>
    <row r="180" spans="16:44">
      <c r="P180" s="114"/>
      <c r="Q180" s="168" t="s">
        <v>1087</v>
      </c>
      <c r="R180" s="56">
        <v>101933</v>
      </c>
      <c r="S180" s="113">
        <f>R180*$T$259</f>
        <v>30586733.981434692</v>
      </c>
      <c r="T180" s="168"/>
      <c r="U180" s="215">
        <f>$Q$175*$T$175*S180/$R$201</f>
        <v>21.613008557592</v>
      </c>
      <c r="V180" s="95">
        <f>S180+U180</f>
        <v>30586755.59444325</v>
      </c>
      <c r="W180" s="99">
        <f>R180*100/U256</f>
        <v>2.8817344743455999</v>
      </c>
      <c r="X180" s="115"/>
    </row>
    <row r="181" spans="16:44">
      <c r="Q181" s="168"/>
      <c r="R181" s="56"/>
      <c r="S181" s="168"/>
      <c r="T181" s="168"/>
      <c r="U181" s="168"/>
      <c r="V181" s="168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168"/>
      <c r="R182" s="168"/>
      <c r="S182" s="168"/>
      <c r="T182" s="168"/>
      <c r="U182" s="168"/>
      <c r="V182" s="168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 t="s">
        <v>25</v>
      </c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9"/>
      <c r="R184" s="99"/>
      <c r="S184" s="99"/>
      <c r="T184" s="99"/>
      <c r="U184" s="99"/>
      <c r="V184" s="99"/>
      <c r="W184" s="99"/>
      <c r="X184" s="96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9"/>
      <c r="R185" s="99"/>
      <c r="S185" s="99"/>
      <c r="T185" s="99"/>
      <c r="U185" s="99"/>
      <c r="V185" s="99"/>
      <c r="W185" s="99"/>
      <c r="X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/>
      <c r="V186" s="96"/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P187" s="114"/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6" t="s">
        <v>25</v>
      </c>
      <c r="V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96"/>
      <c r="R189" s="96"/>
      <c r="S189" s="96"/>
      <c r="T189" s="96"/>
      <c r="V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6"/>
      <c r="R190" s="96"/>
      <c r="S190" s="96"/>
      <c r="T190" s="99" t="s">
        <v>180</v>
      </c>
      <c r="U190" s="99" t="s">
        <v>4486</v>
      </c>
      <c r="V190" s="99" t="s">
        <v>4487</v>
      </c>
      <c r="W190" s="99" t="s">
        <v>4497</v>
      </c>
      <c r="X190" s="99" t="s">
        <v>8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36" t="s">
        <v>4572</v>
      </c>
      <c r="R191" s="95">
        <f>SUM(N50:N65)</f>
        <v>706192124.9000001</v>
      </c>
      <c r="T191" s="113" t="s">
        <v>4462</v>
      </c>
      <c r="U191" s="56">
        <v>1000000</v>
      </c>
      <c r="V191" s="113">
        <v>239.024</v>
      </c>
      <c r="W191" s="113">
        <f t="shared" ref="W191:W252" si="45">U191*V191</f>
        <v>239024000</v>
      </c>
      <c r="X191" s="99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4453</v>
      </c>
      <c r="R192" s="95">
        <f>SUM(N21:N28)</f>
        <v>319084581.39999998</v>
      </c>
      <c r="T192" s="168" t="s">
        <v>4444</v>
      </c>
      <c r="U192" s="56">
        <v>5904</v>
      </c>
      <c r="V192" s="113">
        <v>237.148</v>
      </c>
      <c r="W192" s="113">
        <f t="shared" si="45"/>
        <v>1400121.7919999999</v>
      </c>
      <c r="X192" s="99" t="s">
        <v>751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4454</v>
      </c>
      <c r="R193" s="95">
        <f>SUM(N31:N37)</f>
        <v>35920172.899999999</v>
      </c>
      <c r="T193" s="168" t="s">
        <v>4232</v>
      </c>
      <c r="U193" s="168">
        <v>1000</v>
      </c>
      <c r="V193" s="113">
        <v>247.393</v>
      </c>
      <c r="W193" s="113">
        <f t="shared" si="45"/>
        <v>247393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4455</v>
      </c>
      <c r="R194" s="95">
        <f>N48</f>
        <v>1233</v>
      </c>
      <c r="T194" s="168" t="s">
        <v>4498</v>
      </c>
      <c r="U194" s="168">
        <v>8071</v>
      </c>
      <c r="V194" s="113">
        <v>247.797</v>
      </c>
      <c r="W194" s="113">
        <f t="shared" si="45"/>
        <v>1999969.5870000001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4456</v>
      </c>
      <c r="R195" s="95">
        <f>N20</f>
        <v>3788</v>
      </c>
      <c r="T195" s="168" t="s">
        <v>4498</v>
      </c>
      <c r="U195" s="168">
        <v>53672</v>
      </c>
      <c r="V195" s="113">
        <v>247.797</v>
      </c>
      <c r="W195" s="113">
        <f t="shared" si="45"/>
        <v>13299760.584000001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4457</v>
      </c>
      <c r="R196" s="95">
        <f>N30</f>
        <v>6973</v>
      </c>
      <c r="T196" s="168" t="s">
        <v>4506</v>
      </c>
      <c r="U196" s="168">
        <v>4099</v>
      </c>
      <c r="V196" s="113">
        <v>243.93</v>
      </c>
      <c r="W196" s="113">
        <f t="shared" si="45"/>
        <v>999869.07000000007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4469</v>
      </c>
      <c r="R197" s="95">
        <v>0</v>
      </c>
      <c r="T197" s="168" t="s">
        <v>4506</v>
      </c>
      <c r="U197" s="168">
        <v>9301</v>
      </c>
      <c r="V197" s="113">
        <v>243.93</v>
      </c>
      <c r="W197" s="113">
        <f t="shared" si="45"/>
        <v>2268792.9300000002</v>
      </c>
      <c r="X197" s="99" t="s">
        <v>452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4898</v>
      </c>
      <c r="R198" s="95">
        <v>0</v>
      </c>
      <c r="T198" s="168" t="s">
        <v>4512</v>
      </c>
      <c r="U198" s="168">
        <v>8334</v>
      </c>
      <c r="V198" s="113">
        <v>239.97</v>
      </c>
      <c r="W198" s="113">
        <f t="shared" si="45"/>
        <v>1999909.98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4939</v>
      </c>
      <c r="R199" s="95">
        <v>200000</v>
      </c>
      <c r="T199" s="168" t="s">
        <v>4231</v>
      </c>
      <c r="U199" s="168">
        <v>29041</v>
      </c>
      <c r="V199" s="113">
        <v>233.45</v>
      </c>
      <c r="W199" s="113">
        <f t="shared" si="45"/>
        <v>6779621.4499999993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9" t="s">
        <v>4718</v>
      </c>
      <c r="R200" s="95">
        <v>-8725</v>
      </c>
      <c r="S200" s="115"/>
      <c r="T200" s="168" t="s">
        <v>994</v>
      </c>
      <c r="U200" s="168">
        <v>12337</v>
      </c>
      <c r="V200" s="113">
        <v>243.16300000000001</v>
      </c>
      <c r="W200" s="113">
        <f t="shared" si="45"/>
        <v>2999901.9310000003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9" t="s">
        <v>4461</v>
      </c>
      <c r="R201" s="95">
        <f>SUM(R191:R200)</f>
        <v>1061400148.2</v>
      </c>
      <c r="S201" s="122"/>
      <c r="T201" s="168" t="s">
        <v>4595</v>
      </c>
      <c r="U201" s="168">
        <v>-16118</v>
      </c>
      <c r="V201" s="113">
        <v>248.17</v>
      </c>
      <c r="W201" s="113">
        <f t="shared" si="45"/>
        <v>-4000004.0599999996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S202" s="115"/>
      <c r="T202" s="168" t="s">
        <v>4624</v>
      </c>
      <c r="U202" s="168">
        <v>101681</v>
      </c>
      <c r="V202" s="113">
        <v>246.5711</v>
      </c>
      <c r="W202" s="113">
        <f t="shared" si="45"/>
        <v>25071596.019099999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82"/>
      <c r="S203" s="115"/>
      <c r="T203" s="168" t="s">
        <v>4628</v>
      </c>
      <c r="U203" s="168">
        <v>66606</v>
      </c>
      <c r="V203" s="113">
        <v>251.131</v>
      </c>
      <c r="W203" s="113">
        <f t="shared" si="45"/>
        <v>16726831.386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Q204" s="96"/>
      <c r="R204" s="182"/>
      <c r="T204" s="168" t="s">
        <v>4635</v>
      </c>
      <c r="U204" s="168">
        <v>172025</v>
      </c>
      <c r="V204" s="113">
        <v>245.52809999999999</v>
      </c>
      <c r="W204" s="113">
        <f t="shared" si="45"/>
        <v>42236971.402499996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Q205" s="96"/>
      <c r="R205" s="115"/>
      <c r="T205" s="168" t="s">
        <v>4635</v>
      </c>
      <c r="U205" s="168">
        <v>189227</v>
      </c>
      <c r="V205" s="113">
        <v>245.52809999999999</v>
      </c>
      <c r="W205" s="113">
        <f t="shared" si="45"/>
        <v>46460545.778700002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T206" s="168" t="s">
        <v>4638</v>
      </c>
      <c r="U206" s="168">
        <v>79720</v>
      </c>
      <c r="V206" s="113">
        <v>246.6568</v>
      </c>
      <c r="W206" s="113">
        <f t="shared" si="45"/>
        <v>19663480.096000001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 t="s">
        <v>8</v>
      </c>
      <c r="Q207" s="99" t="s">
        <v>4451</v>
      </c>
      <c r="R207" s="99"/>
      <c r="T207" s="168" t="s">
        <v>4638</v>
      </c>
      <c r="U207" s="168">
        <v>79720</v>
      </c>
      <c r="V207" s="113">
        <v>246.6568</v>
      </c>
      <c r="W207" s="113">
        <f t="shared" si="45"/>
        <v>19663480.096000001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36" t="s">
        <v>180</v>
      </c>
      <c r="R208" s="99" t="s">
        <v>267</v>
      </c>
      <c r="T208" s="168" t="s">
        <v>4665</v>
      </c>
      <c r="U208" s="168">
        <v>17769</v>
      </c>
      <c r="V208" s="113">
        <v>246.17877999999999</v>
      </c>
      <c r="W208" s="113">
        <f t="shared" si="45"/>
        <v>4374350.7418200001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4444</v>
      </c>
      <c r="R209" s="95">
        <v>3000000</v>
      </c>
      <c r="T209" s="168" t="s">
        <v>4665</v>
      </c>
      <c r="U209" s="168">
        <v>17769</v>
      </c>
      <c r="V209" s="113">
        <v>246.17877999999999</v>
      </c>
      <c r="W209" s="113">
        <f t="shared" si="45"/>
        <v>4374350.7418200001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4498</v>
      </c>
      <c r="R210" s="95">
        <v>2000000</v>
      </c>
      <c r="T210" s="168" t="s">
        <v>4671</v>
      </c>
      <c r="U210" s="168">
        <v>12438</v>
      </c>
      <c r="V210" s="113">
        <v>241.20465999999999</v>
      </c>
      <c r="W210" s="113">
        <f t="shared" si="45"/>
        <v>3000103.5610799999</v>
      </c>
      <c r="X210" s="99" t="s">
        <v>4451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4506</v>
      </c>
      <c r="R211" s="95">
        <v>1000000</v>
      </c>
      <c r="T211" s="168" t="s">
        <v>4681</v>
      </c>
      <c r="U211" s="168">
        <v>27363</v>
      </c>
      <c r="V211" s="113">
        <v>239.3886</v>
      </c>
      <c r="W211" s="113">
        <f t="shared" si="45"/>
        <v>6550390.2617999995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4512</v>
      </c>
      <c r="R212" s="95">
        <v>2000000</v>
      </c>
      <c r="T212" s="168" t="s">
        <v>4681</v>
      </c>
      <c r="U212" s="168">
        <v>27363</v>
      </c>
      <c r="V212" s="113">
        <v>239.3886</v>
      </c>
      <c r="W212" s="113">
        <f t="shared" si="45"/>
        <v>6550390.2617999995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/>
      <c r="Q213" s="99" t="s">
        <v>994</v>
      </c>
      <c r="R213" s="95">
        <v>3000000</v>
      </c>
      <c r="T213" s="212" t="s">
        <v>4685</v>
      </c>
      <c r="U213" s="212">
        <v>27437</v>
      </c>
      <c r="V213" s="113">
        <v>242.4015</v>
      </c>
      <c r="W213" s="113">
        <f t="shared" si="45"/>
        <v>6650769.9555000002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/>
      <c r="Q214" s="99" t="s">
        <v>4671</v>
      </c>
      <c r="R214" s="95">
        <v>3000000</v>
      </c>
      <c r="T214" s="212" t="s">
        <v>4685</v>
      </c>
      <c r="U214" s="212">
        <v>29104</v>
      </c>
      <c r="V214" s="113">
        <v>242.4015</v>
      </c>
      <c r="W214" s="113">
        <f t="shared" si="45"/>
        <v>7054853.2560000001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4915</v>
      </c>
      <c r="R215" s="95">
        <v>-800000</v>
      </c>
      <c r="T215" s="215" t="s">
        <v>4722</v>
      </c>
      <c r="U215" s="215">
        <v>8991</v>
      </c>
      <c r="V215" s="113">
        <v>238.64867000000001</v>
      </c>
      <c r="W215" s="113">
        <f t="shared" si="45"/>
        <v>2145690.19197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99" t="s">
        <v>4923</v>
      </c>
      <c r="Q216" s="99" t="s">
        <v>4915</v>
      </c>
      <c r="R216" s="95">
        <v>-900000</v>
      </c>
      <c r="T216" s="215" t="s">
        <v>4722</v>
      </c>
      <c r="U216" s="215">
        <v>8991</v>
      </c>
      <c r="V216" s="113">
        <v>238.64867000000001</v>
      </c>
      <c r="W216" s="113">
        <f t="shared" si="45"/>
        <v>2145690.19197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 t="s">
        <v>4923</v>
      </c>
      <c r="Q217" s="99" t="s">
        <v>981</v>
      </c>
      <c r="R217" s="95">
        <v>-1100000</v>
      </c>
      <c r="T217" s="215" t="s">
        <v>4737</v>
      </c>
      <c r="U217" s="215">
        <v>18170</v>
      </c>
      <c r="V217" s="113">
        <v>240.48475999999999</v>
      </c>
      <c r="W217" s="113">
        <f t="shared" si="45"/>
        <v>4369608.0892000003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196" t="s">
        <v>1087</v>
      </c>
      <c r="Q218" s="196" t="s">
        <v>4957</v>
      </c>
      <c r="R218" s="245">
        <v>30000000</v>
      </c>
      <c r="S218" t="s">
        <v>25</v>
      </c>
      <c r="T218" s="215" t="s">
        <v>4737</v>
      </c>
      <c r="U218" s="215">
        <v>18170</v>
      </c>
      <c r="V218" s="113">
        <v>240.48475999999999</v>
      </c>
      <c r="W218" s="113">
        <f t="shared" si="45"/>
        <v>4369608.0892000003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5"/>
      <c r="T219" s="215" t="s">
        <v>4741</v>
      </c>
      <c r="U219" s="215">
        <v>36797</v>
      </c>
      <c r="V219" s="113">
        <v>239.0822</v>
      </c>
      <c r="W219" s="113">
        <f t="shared" si="45"/>
        <v>8797507.7134000007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P220" s="99"/>
      <c r="Q220" s="99"/>
      <c r="R220" s="95">
        <f>SUM(R209:R218)</f>
        <v>41200000</v>
      </c>
      <c r="T220" s="215" t="s">
        <v>4741</v>
      </c>
      <c r="U220" s="215">
        <v>36797</v>
      </c>
      <c r="V220" s="113">
        <v>239.0822</v>
      </c>
      <c r="W220" s="113">
        <f t="shared" si="45"/>
        <v>8797507.7134000007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P221" s="99"/>
      <c r="Q221" s="99"/>
      <c r="R221" s="99" t="s">
        <v>6</v>
      </c>
      <c r="T221" s="215" t="s">
        <v>4752</v>
      </c>
      <c r="U221" s="215">
        <v>28066</v>
      </c>
      <c r="V221" s="113">
        <v>237.56970000000001</v>
      </c>
      <c r="W221" s="113">
        <f t="shared" si="45"/>
        <v>6667631.2002000008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T222" s="215" t="s">
        <v>4752</v>
      </c>
      <c r="U222" s="215">
        <v>28066</v>
      </c>
      <c r="V222" s="113">
        <v>237.56970000000001</v>
      </c>
      <c r="W222" s="113">
        <f t="shared" si="45"/>
        <v>6667631.2002000008</v>
      </c>
      <c r="X222" s="99" t="s">
        <v>452</v>
      </c>
      <c r="Y222" s="96"/>
      <c r="AH222" s="20">
        <v>41</v>
      </c>
      <c r="AI222" s="20" t="s">
        <v>4915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4916</v>
      </c>
    </row>
    <row r="223" spans="16:45">
      <c r="Q223" s="96"/>
      <c r="R223" s="96" t="s">
        <v>25</v>
      </c>
      <c r="T223" s="215" t="s">
        <v>3684</v>
      </c>
      <c r="U223" s="215">
        <v>37457</v>
      </c>
      <c r="V223" s="113">
        <v>239.77</v>
      </c>
      <c r="W223" s="113">
        <f t="shared" si="45"/>
        <v>8981064.8900000006</v>
      </c>
      <c r="X223" s="99" t="s">
        <v>751</v>
      </c>
      <c r="Y223" t="s">
        <v>25</v>
      </c>
      <c r="AH223" s="149">
        <v>42</v>
      </c>
      <c r="AI223" s="149" t="s">
        <v>4915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4917</v>
      </c>
    </row>
    <row r="224" spans="16:45">
      <c r="Q224" s="96"/>
      <c r="R224" s="96"/>
      <c r="T224" s="215" t="s">
        <v>3684</v>
      </c>
      <c r="U224" s="215">
        <v>37457</v>
      </c>
      <c r="V224" s="113">
        <v>239.77</v>
      </c>
      <c r="W224" s="113">
        <f t="shared" si="45"/>
        <v>8981064.8900000006</v>
      </c>
      <c r="X224" s="99" t="s">
        <v>452</v>
      </c>
      <c r="Z224" t="s">
        <v>25</v>
      </c>
      <c r="AH224" s="20">
        <v>43</v>
      </c>
      <c r="AI224" s="20" t="s">
        <v>4915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T225" s="215" t="s">
        <v>4765</v>
      </c>
      <c r="U225" s="215">
        <v>38412</v>
      </c>
      <c r="V225" s="113">
        <v>239.03</v>
      </c>
      <c r="W225" s="113">
        <f t="shared" si="45"/>
        <v>9181620.3599999994</v>
      </c>
      <c r="X225" s="99" t="s">
        <v>751</v>
      </c>
      <c r="AH225" s="20">
        <v>44</v>
      </c>
      <c r="AI225" s="20" t="s">
        <v>4926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751</v>
      </c>
      <c r="R226" s="99"/>
      <c r="T226" s="215" t="s">
        <v>4765</v>
      </c>
      <c r="U226" s="215">
        <v>38412</v>
      </c>
      <c r="V226" s="113">
        <v>239.03</v>
      </c>
      <c r="W226" s="113">
        <f t="shared" si="45"/>
        <v>9181620.3599999994</v>
      </c>
      <c r="X226" s="99" t="s">
        <v>452</v>
      </c>
      <c r="AH226" s="149">
        <v>45</v>
      </c>
      <c r="AI226" s="149" t="s">
        <v>4926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4444</v>
      </c>
      <c r="R227" s="95">
        <v>172908000</v>
      </c>
      <c r="T227" s="215" t="s">
        <v>4775</v>
      </c>
      <c r="U227" s="215">
        <v>49555</v>
      </c>
      <c r="V227" s="113">
        <v>238.345</v>
      </c>
      <c r="W227" s="113">
        <f t="shared" si="45"/>
        <v>11811186.475</v>
      </c>
      <c r="X227" s="99" t="s">
        <v>751</v>
      </c>
      <c r="AH227" s="20">
        <v>46</v>
      </c>
      <c r="AI227" s="20" t="s">
        <v>4941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4485</v>
      </c>
      <c r="R228" s="95">
        <v>1400000</v>
      </c>
      <c r="T228" s="215" t="s">
        <v>4775</v>
      </c>
      <c r="U228" s="215">
        <v>49555</v>
      </c>
      <c r="V228" s="113">
        <v>238.345</v>
      </c>
      <c r="W228" s="113">
        <f t="shared" si="45"/>
        <v>11811186.475</v>
      </c>
      <c r="X228" s="99" t="s">
        <v>452</v>
      </c>
      <c r="AH228" s="196">
        <v>47</v>
      </c>
      <c r="AI228" s="196" t="s">
        <v>4941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4232</v>
      </c>
      <c r="R229" s="95">
        <v>247393</v>
      </c>
      <c r="T229" s="215" t="s">
        <v>4793</v>
      </c>
      <c r="U229" s="215">
        <v>160187</v>
      </c>
      <c r="V229" s="113">
        <v>257.49799999999999</v>
      </c>
      <c r="W229" s="113">
        <f t="shared" si="45"/>
        <v>41247832.126000002</v>
      </c>
      <c r="X229" s="99" t="s">
        <v>751</v>
      </c>
      <c r="AH229" s="196">
        <v>48</v>
      </c>
      <c r="AI229" s="196" t="s">
        <v>4957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4959</v>
      </c>
    </row>
    <row r="230" spans="17:40">
      <c r="Q230" s="99" t="s">
        <v>4231</v>
      </c>
      <c r="R230" s="95">
        <v>6780000</v>
      </c>
      <c r="T230" s="215" t="s">
        <v>4793</v>
      </c>
      <c r="U230" s="215">
        <v>160187</v>
      </c>
      <c r="V230" s="113">
        <v>257.49799999999999</v>
      </c>
      <c r="W230" s="113">
        <f t="shared" si="45"/>
        <v>41247832.126000002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4595</v>
      </c>
      <c r="R231" s="95">
        <v>-4000000</v>
      </c>
      <c r="S231" t="s">
        <v>25</v>
      </c>
      <c r="T231" s="215" t="s">
        <v>4803</v>
      </c>
      <c r="U231" s="215">
        <v>144401</v>
      </c>
      <c r="V231" s="113">
        <v>258.5061</v>
      </c>
      <c r="W231" s="113">
        <f t="shared" si="45"/>
        <v>37328539.346100003</v>
      </c>
      <c r="X231" s="99" t="s">
        <v>751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4628</v>
      </c>
      <c r="R232" s="95">
        <v>16727037</v>
      </c>
      <c r="T232" s="215" t="s">
        <v>4803</v>
      </c>
      <c r="U232" s="215">
        <v>144401</v>
      </c>
      <c r="V232" s="113">
        <v>258.5061</v>
      </c>
      <c r="W232" s="113">
        <f t="shared" si="45"/>
        <v>37328539.346100003</v>
      </c>
      <c r="X232" s="99" t="s">
        <v>452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4635</v>
      </c>
      <c r="R233" s="95">
        <v>46460683</v>
      </c>
      <c r="T233" s="168" t="s">
        <v>4812</v>
      </c>
      <c r="U233" s="168">
        <v>196500</v>
      </c>
      <c r="V233" s="113">
        <v>254.452</v>
      </c>
      <c r="W233" s="113">
        <f t="shared" si="45"/>
        <v>49999818</v>
      </c>
      <c r="X233" s="99" t="s">
        <v>4820</v>
      </c>
      <c r="AJ233" t="s">
        <v>4059</v>
      </c>
      <c r="AM233" t="s">
        <v>284</v>
      </c>
      <c r="AN233" t="s">
        <v>943</v>
      </c>
    </row>
    <row r="234" spans="17:40">
      <c r="Q234" s="99" t="s">
        <v>4638</v>
      </c>
      <c r="R234" s="95">
        <v>19663646</v>
      </c>
      <c r="T234" s="215" t="s">
        <v>4812</v>
      </c>
      <c r="U234" s="215">
        <v>2561</v>
      </c>
      <c r="V234" s="113">
        <v>254.536</v>
      </c>
      <c r="W234" s="113">
        <f t="shared" si="45"/>
        <v>651866.696</v>
      </c>
      <c r="X234" s="99" t="s">
        <v>4821</v>
      </c>
    </row>
    <row r="235" spans="17:40">
      <c r="Q235" s="99" t="s">
        <v>4665</v>
      </c>
      <c r="R235" s="95">
        <v>4374525</v>
      </c>
      <c r="S235" t="s">
        <v>25</v>
      </c>
      <c r="T235" s="215" t="s">
        <v>4872</v>
      </c>
      <c r="U235" s="215">
        <v>-11795</v>
      </c>
      <c r="V235" s="113">
        <v>254.334</v>
      </c>
      <c r="W235" s="113">
        <f t="shared" si="45"/>
        <v>-2999869.5300000003</v>
      </c>
      <c r="X235" s="99" t="s">
        <v>4873</v>
      </c>
      <c r="AI235" t="s">
        <v>4061</v>
      </c>
      <c r="AJ235" s="114">
        <f>AJ232+AN232</f>
        <v>314060837.94221151</v>
      </c>
    </row>
    <row r="236" spans="17:40">
      <c r="Q236" s="99" t="s">
        <v>4681</v>
      </c>
      <c r="R236" s="95">
        <v>6550580</v>
      </c>
      <c r="T236" s="215" t="s">
        <v>4872</v>
      </c>
      <c r="U236" s="215">
        <v>11795</v>
      </c>
      <c r="V236" s="113">
        <v>254.334</v>
      </c>
      <c r="W236" s="113">
        <f t="shared" si="45"/>
        <v>2999869.5300000003</v>
      </c>
      <c r="X236" s="99" t="s">
        <v>4874</v>
      </c>
      <c r="AI236" t="s">
        <v>4064</v>
      </c>
      <c r="AJ236" s="114">
        <f>SUM(N20:N37)</f>
        <v>355015515.30000001</v>
      </c>
    </row>
    <row r="237" spans="17:40">
      <c r="Q237" s="99" t="s">
        <v>4685</v>
      </c>
      <c r="R237" s="95">
        <v>6650895</v>
      </c>
      <c r="T237" s="215" t="s">
        <v>4890</v>
      </c>
      <c r="U237" s="215">
        <v>260</v>
      </c>
      <c r="V237" s="113">
        <v>263.19</v>
      </c>
      <c r="W237" s="113">
        <f t="shared" si="45"/>
        <v>68429.399999999994</v>
      </c>
      <c r="X237" s="99" t="s">
        <v>452</v>
      </c>
      <c r="AI237" t="s">
        <v>4136</v>
      </c>
      <c r="AJ237" s="114">
        <f>AJ236-AJ232</f>
        <v>48498417.300000012</v>
      </c>
    </row>
    <row r="238" spans="17:40">
      <c r="Q238" s="99" t="s">
        <v>4722</v>
      </c>
      <c r="R238" s="95">
        <v>2145814</v>
      </c>
      <c r="T238" s="215" t="s">
        <v>4906</v>
      </c>
      <c r="U238" s="215">
        <v>15257</v>
      </c>
      <c r="V238" s="113">
        <v>262.19018</v>
      </c>
      <c r="W238" s="113">
        <f t="shared" si="45"/>
        <v>4000235.57626</v>
      </c>
      <c r="X238" s="99" t="s">
        <v>452</v>
      </c>
      <c r="AI238" t="s">
        <v>943</v>
      </c>
      <c r="AJ238" s="114">
        <f>AN232</f>
        <v>7543739.9422115162</v>
      </c>
    </row>
    <row r="239" spans="17:40">
      <c r="Q239" s="99" t="s">
        <v>4737</v>
      </c>
      <c r="R239" s="95">
        <v>4369730</v>
      </c>
      <c r="T239" s="215" t="s">
        <v>4906</v>
      </c>
      <c r="U239" s="215">
        <v>8444</v>
      </c>
      <c r="V239" s="113">
        <v>266.43029999999999</v>
      </c>
      <c r="W239" s="113">
        <f t="shared" si="45"/>
        <v>2249737.4531999999</v>
      </c>
      <c r="X239" s="99" t="s">
        <v>452</v>
      </c>
      <c r="AI239" t="s">
        <v>4065</v>
      </c>
      <c r="AJ239" s="114">
        <f>AJ237-AJ238</f>
        <v>40954677.357788496</v>
      </c>
      <c r="AN239" t="s">
        <v>25</v>
      </c>
    </row>
    <row r="240" spans="17:40">
      <c r="Q240" s="99" t="s">
        <v>4741</v>
      </c>
      <c r="R240" s="95">
        <v>8739459</v>
      </c>
      <c r="T240" s="215" t="s">
        <v>4915</v>
      </c>
      <c r="U240" s="215">
        <v>-6209</v>
      </c>
      <c r="V240" s="113">
        <v>273.79649999999998</v>
      </c>
      <c r="W240" s="113">
        <f t="shared" si="45"/>
        <v>-1700002.4685</v>
      </c>
      <c r="X240" s="99" t="s">
        <v>4928</v>
      </c>
      <c r="AN240" t="s">
        <v>25</v>
      </c>
    </row>
    <row r="241" spans="17:40">
      <c r="Q241" s="99" t="s">
        <v>4752</v>
      </c>
      <c r="R241" s="95">
        <v>6667654</v>
      </c>
      <c r="T241" s="215" t="s">
        <v>4915</v>
      </c>
      <c r="U241" s="215">
        <v>-8014</v>
      </c>
      <c r="V241" s="113">
        <v>273.79649999999998</v>
      </c>
      <c r="W241" s="113">
        <f t="shared" si="45"/>
        <v>-2194205.1510000001</v>
      </c>
      <c r="X241" s="99" t="s">
        <v>751</v>
      </c>
    </row>
    <row r="242" spans="17:40">
      <c r="Q242" s="99" t="s">
        <v>4760</v>
      </c>
      <c r="R242" s="95">
        <v>8981245</v>
      </c>
      <c r="S242" t="s">
        <v>25</v>
      </c>
      <c r="T242" s="215" t="s">
        <v>4926</v>
      </c>
      <c r="U242" s="215">
        <v>-9176</v>
      </c>
      <c r="V242" s="113">
        <v>273.79649999999998</v>
      </c>
      <c r="W242" s="113">
        <f t="shared" si="45"/>
        <v>-2512356.6839999999</v>
      </c>
      <c r="X242" s="99" t="s">
        <v>452</v>
      </c>
    </row>
    <row r="243" spans="17:40">
      <c r="Q243" s="99" t="s">
        <v>4765</v>
      </c>
      <c r="R243" s="95">
        <v>9181756</v>
      </c>
      <c r="T243" s="215" t="s">
        <v>4926</v>
      </c>
      <c r="U243" s="215">
        <v>1087</v>
      </c>
      <c r="V243" s="113">
        <v>273.79649999999998</v>
      </c>
      <c r="W243" s="113">
        <f t="shared" si="45"/>
        <v>297616.79550000001</v>
      </c>
      <c r="X243" s="99" t="s">
        <v>452</v>
      </c>
      <c r="AN243" t="s">
        <v>25</v>
      </c>
    </row>
    <row r="244" spans="17:40">
      <c r="Q244" s="99" t="s">
        <v>4775</v>
      </c>
      <c r="R244" s="95">
        <v>11811208</v>
      </c>
      <c r="T244" s="215" t="s">
        <v>981</v>
      </c>
      <c r="U244" s="215">
        <v>-4017</v>
      </c>
      <c r="V244" s="113">
        <v>273.79649999999998</v>
      </c>
      <c r="W244" s="113">
        <f t="shared" si="45"/>
        <v>-1099840.5404999999</v>
      </c>
      <c r="X244" s="99" t="s">
        <v>4451</v>
      </c>
      <c r="Y244" t="s">
        <v>25</v>
      </c>
    </row>
    <row r="245" spans="17:40">
      <c r="Q245" s="99" t="s">
        <v>4793</v>
      </c>
      <c r="R245" s="95">
        <v>41248054</v>
      </c>
      <c r="T245" s="215" t="s">
        <v>981</v>
      </c>
      <c r="U245" s="215">
        <v>4017</v>
      </c>
      <c r="V245" s="113">
        <v>273.79649999999998</v>
      </c>
      <c r="W245" s="113">
        <f t="shared" si="45"/>
        <v>1099840.5404999999</v>
      </c>
      <c r="X245" s="99" t="s">
        <v>452</v>
      </c>
      <c r="Y245" t="s">
        <v>25</v>
      </c>
    </row>
    <row r="246" spans="17:40">
      <c r="Q246" s="99" t="s">
        <v>4803</v>
      </c>
      <c r="R246" s="95">
        <v>37328780</v>
      </c>
      <c r="S246" t="s">
        <v>25</v>
      </c>
      <c r="T246" s="215" t="s">
        <v>4941</v>
      </c>
      <c r="U246" s="215">
        <v>3137</v>
      </c>
      <c r="V246" s="113">
        <v>283.69110000000001</v>
      </c>
      <c r="W246" s="113">
        <f t="shared" si="45"/>
        <v>889938.98070000007</v>
      </c>
      <c r="X246" s="99" t="s">
        <v>452</v>
      </c>
    </row>
    <row r="247" spans="17:40">
      <c r="Q247" s="99" t="s">
        <v>4915</v>
      </c>
      <c r="R247" s="95">
        <v>-2194100</v>
      </c>
      <c r="S247" t="s">
        <v>25</v>
      </c>
      <c r="T247" s="215" t="s">
        <v>4957</v>
      </c>
      <c r="U247" s="215">
        <v>101933</v>
      </c>
      <c r="V247" s="113">
        <v>294.30973999999998</v>
      </c>
      <c r="W247" s="113">
        <f t="shared" si="45"/>
        <v>29999874.727419998</v>
      </c>
      <c r="X247" s="99" t="s">
        <v>1087</v>
      </c>
    </row>
    <row r="248" spans="17:40">
      <c r="Q248" s="99" t="s">
        <v>4972</v>
      </c>
      <c r="R248" s="95">
        <v>20193916</v>
      </c>
      <c r="T248" s="215" t="s">
        <v>4970</v>
      </c>
      <c r="U248" s="215">
        <v>3407</v>
      </c>
      <c r="V248" s="113">
        <v>293.43799999999999</v>
      </c>
      <c r="W248" s="113">
        <f t="shared" si="45"/>
        <v>999743.26599999995</v>
      </c>
      <c r="X248" s="99" t="s">
        <v>452</v>
      </c>
    </row>
    <row r="249" spans="17:40">
      <c r="Q249" s="99"/>
      <c r="R249" s="95"/>
      <c r="T249" s="215" t="s">
        <v>4972</v>
      </c>
      <c r="U249" s="215">
        <v>68796</v>
      </c>
      <c r="V249" s="113">
        <v>293.53250000000003</v>
      </c>
      <c r="W249" s="113">
        <f t="shared" si="45"/>
        <v>20193861.870000001</v>
      </c>
      <c r="X249" s="99" t="s">
        <v>751</v>
      </c>
    </row>
    <row r="250" spans="17:40">
      <c r="Q250" s="99"/>
      <c r="R250" s="95">
        <f>SUM(R227:R249)</f>
        <v>426236275</v>
      </c>
      <c r="T250" s="215" t="s">
        <v>4972</v>
      </c>
      <c r="U250" s="215">
        <v>154791</v>
      </c>
      <c r="V250" s="113">
        <v>293.53250000000003</v>
      </c>
      <c r="W250" s="113">
        <f t="shared" si="45"/>
        <v>45436189.207500003</v>
      </c>
      <c r="X250" s="99" t="s">
        <v>452</v>
      </c>
    </row>
    <row r="251" spans="17:40">
      <c r="Q251" s="99"/>
      <c r="R251" s="99" t="s">
        <v>6</v>
      </c>
      <c r="T251" s="215" t="s">
        <v>4972</v>
      </c>
      <c r="U251" s="215">
        <v>-11923</v>
      </c>
      <c r="V251" s="113">
        <v>293.53250000000003</v>
      </c>
      <c r="W251" s="113">
        <f t="shared" si="45"/>
        <v>-3499787.9975000005</v>
      </c>
      <c r="X251" s="99" t="s">
        <v>452</v>
      </c>
    </row>
    <row r="252" spans="17:40">
      <c r="T252" s="215" t="s">
        <v>4995</v>
      </c>
      <c r="U252" s="215">
        <v>8424</v>
      </c>
      <c r="V252" s="113">
        <v>299.15170000000001</v>
      </c>
      <c r="W252" s="113">
        <f t="shared" si="45"/>
        <v>2520053.9208</v>
      </c>
      <c r="X252" s="99" t="s">
        <v>452</v>
      </c>
    </row>
    <row r="253" spans="17:40">
      <c r="T253" s="215"/>
      <c r="U253" s="215"/>
      <c r="V253" s="113"/>
      <c r="W253" s="113"/>
      <c r="X253" s="99"/>
    </row>
    <row r="254" spans="17:40">
      <c r="Q254" s="99" t="s">
        <v>452</v>
      </c>
      <c r="R254" s="99"/>
      <c r="T254" s="215"/>
      <c r="U254" s="215"/>
      <c r="V254" s="113"/>
      <c r="W254" s="113"/>
      <c r="X254" s="99"/>
    </row>
    <row r="255" spans="17:40">
      <c r="Q255" s="99" t="s">
        <v>4444</v>
      </c>
      <c r="R255" s="95">
        <v>63115000</v>
      </c>
      <c r="T255" s="168"/>
      <c r="U255" s="168"/>
      <c r="V255" s="113"/>
      <c r="W255" s="113"/>
      <c r="X255" s="99"/>
    </row>
    <row r="256" spans="17:40">
      <c r="Q256" s="99" t="s">
        <v>4498</v>
      </c>
      <c r="R256" s="95">
        <v>13300000</v>
      </c>
      <c r="T256" s="168"/>
      <c r="U256" s="168">
        <f>SUM(U191:U255)</f>
        <v>3537210</v>
      </c>
      <c r="V256" s="99"/>
      <c r="W256" s="99"/>
      <c r="X256" s="99"/>
    </row>
    <row r="257" spans="17:24">
      <c r="Q257" s="99" t="s">
        <v>4506</v>
      </c>
      <c r="R257" s="95">
        <v>2269000</v>
      </c>
      <c r="T257" s="99"/>
      <c r="U257" s="99" t="s">
        <v>6</v>
      </c>
      <c r="V257" s="99"/>
      <c r="W257" s="99"/>
      <c r="X257" s="99"/>
    </row>
    <row r="258" spans="17:24">
      <c r="Q258" s="99" t="s">
        <v>4624</v>
      </c>
      <c r="R258" s="95">
        <v>25071612</v>
      </c>
      <c r="T258" s="201" t="s">
        <v>4488</v>
      </c>
    </row>
    <row r="259" spans="17:24">
      <c r="Q259" s="99" t="s">
        <v>4635</v>
      </c>
      <c r="R259" s="95">
        <v>42236984</v>
      </c>
      <c r="T259" s="200">
        <f>R201/U256</f>
        <v>300.06704385659884</v>
      </c>
    </row>
    <row r="260" spans="17:24">
      <c r="Q260" s="99" t="s">
        <v>4638</v>
      </c>
      <c r="R260" s="95">
        <v>19663646</v>
      </c>
      <c r="W260" s="114"/>
    </row>
    <row r="261" spans="17:24">
      <c r="Q261" s="99" t="s">
        <v>4665</v>
      </c>
      <c r="R261" s="95">
        <v>4374525</v>
      </c>
      <c r="U261" s="96" t="s">
        <v>267</v>
      </c>
      <c r="V261" t="s">
        <v>4489</v>
      </c>
      <c r="X261" t="s">
        <v>25</v>
      </c>
    </row>
    <row r="262" spans="17:24">
      <c r="Q262" s="99" t="s">
        <v>4681</v>
      </c>
      <c r="R262" s="95">
        <v>6550580</v>
      </c>
      <c r="T262" s="114"/>
      <c r="U262" s="113">
        <v>2520000</v>
      </c>
      <c r="V262">
        <f>U262/T259</f>
        <v>8398.123191443512</v>
      </c>
      <c r="X262" t="s">
        <v>25</v>
      </c>
    </row>
    <row r="263" spans="17:24">
      <c r="Q263" s="99" t="s">
        <v>4685</v>
      </c>
      <c r="R263" s="95">
        <v>7054895</v>
      </c>
      <c r="X263" t="s">
        <v>25</v>
      </c>
    </row>
    <row r="264" spans="17:24">
      <c r="Q264" s="99" t="s">
        <v>4722</v>
      </c>
      <c r="R264" s="95">
        <v>2145814</v>
      </c>
      <c r="W264" s="225"/>
      <c r="X264" s="96" t="s">
        <v>25</v>
      </c>
    </row>
    <row r="265" spans="17:24">
      <c r="Q265" s="99" t="s">
        <v>4737</v>
      </c>
      <c r="R265" s="95">
        <v>4369730</v>
      </c>
    </row>
    <row r="266" spans="17:24">
      <c r="Q266" s="99" t="s">
        <v>4741</v>
      </c>
      <c r="R266" s="95">
        <v>8739459</v>
      </c>
    </row>
    <row r="267" spans="17:24" ht="60">
      <c r="Q267" s="99" t="s">
        <v>4752</v>
      </c>
      <c r="R267" s="95">
        <v>6667654</v>
      </c>
      <c r="T267" s="22" t="s">
        <v>4472</v>
      </c>
      <c r="V267" s="225"/>
    </row>
    <row r="268" spans="17:24" ht="45">
      <c r="Q268" s="99" t="s">
        <v>3684</v>
      </c>
      <c r="R268" s="95">
        <v>8981245</v>
      </c>
      <c r="T268" s="22" t="s">
        <v>4473</v>
      </c>
    </row>
    <row r="269" spans="17:24">
      <c r="Q269" s="99" t="s">
        <v>4765</v>
      </c>
      <c r="R269" s="95">
        <v>9181756</v>
      </c>
    </row>
    <row r="270" spans="17:24">
      <c r="Q270" s="99" t="s">
        <v>4775</v>
      </c>
      <c r="R270" s="95">
        <v>11811208</v>
      </c>
    </row>
    <row r="271" spans="17:24">
      <c r="Q271" s="99" t="s">
        <v>4793</v>
      </c>
      <c r="R271" s="95">
        <v>41248054</v>
      </c>
      <c r="T271" s="99" t="s">
        <v>4490</v>
      </c>
      <c r="U271" s="99" t="s">
        <v>4461</v>
      </c>
      <c r="V271" s="99" t="s">
        <v>953</v>
      </c>
    </row>
    <row r="272" spans="17:24">
      <c r="Q272" s="99" t="s">
        <v>4803</v>
      </c>
      <c r="R272" s="95">
        <v>37328780</v>
      </c>
      <c r="T272" s="95">
        <f>R220+R250+R287</f>
        <v>883099220</v>
      </c>
      <c r="U272" s="95">
        <f>R201</f>
        <v>1061400148.2</v>
      </c>
      <c r="V272" s="95">
        <f>U272-T272</f>
        <v>178300928.20000005</v>
      </c>
    </row>
    <row r="273" spans="17:20">
      <c r="Q273" s="99" t="s">
        <v>4812</v>
      </c>
      <c r="R273" s="95">
        <v>50000000</v>
      </c>
    </row>
    <row r="274" spans="17:20">
      <c r="Q274" s="99" t="s">
        <v>4890</v>
      </c>
      <c r="R274" s="95">
        <v>68656</v>
      </c>
    </row>
    <row r="275" spans="17:20">
      <c r="Q275" s="99" t="s">
        <v>4906</v>
      </c>
      <c r="R275" s="95">
        <v>4000236</v>
      </c>
    </row>
    <row r="276" spans="17:20">
      <c r="Q276" s="99" t="s">
        <v>4906</v>
      </c>
      <c r="R276" s="95">
        <v>2250000</v>
      </c>
    </row>
    <row r="277" spans="17:20">
      <c r="Q277" s="99" t="s">
        <v>4915</v>
      </c>
      <c r="R277" s="95">
        <v>-2512200</v>
      </c>
      <c r="T277" t="s">
        <v>25</v>
      </c>
    </row>
    <row r="278" spans="17:20">
      <c r="Q278" s="99" t="s">
        <v>4926</v>
      </c>
      <c r="R278" s="95">
        <v>300000</v>
      </c>
      <c r="T278" t="s">
        <v>25</v>
      </c>
    </row>
    <row r="279" spans="17:20">
      <c r="Q279" s="99" t="s">
        <v>981</v>
      </c>
      <c r="R279" s="95">
        <v>1100000</v>
      </c>
    </row>
    <row r="280" spans="17:20">
      <c r="Q280" s="99" t="s">
        <v>4941</v>
      </c>
      <c r="R280" s="95">
        <v>890000</v>
      </c>
      <c r="T280" t="s">
        <v>25</v>
      </c>
    </row>
    <row r="281" spans="17:20">
      <c r="Q281" s="99" t="s">
        <v>4970</v>
      </c>
      <c r="R281" s="95">
        <v>1000000</v>
      </c>
      <c r="T281" t="s">
        <v>25</v>
      </c>
    </row>
    <row r="282" spans="17:20">
      <c r="Q282" s="99" t="s">
        <v>4972</v>
      </c>
      <c r="R282" s="95">
        <v>45436311</v>
      </c>
    </row>
    <row r="283" spans="17:20">
      <c r="Q283" s="99" t="s">
        <v>4972</v>
      </c>
      <c r="R283" s="95">
        <v>-3500000</v>
      </c>
    </row>
    <row r="284" spans="17:20">
      <c r="Q284" s="99" t="s">
        <v>4995</v>
      </c>
      <c r="R284" s="95">
        <v>2520000</v>
      </c>
      <c r="T284" t="s">
        <v>25</v>
      </c>
    </row>
    <row r="285" spans="17:20">
      <c r="Q285" s="99"/>
      <c r="R285" s="95"/>
      <c r="T285" t="s">
        <v>25</v>
      </c>
    </row>
    <row r="286" spans="17:20">
      <c r="Q286" s="99"/>
      <c r="R286" s="95"/>
    </row>
    <row r="287" spans="17:20">
      <c r="Q287" s="99"/>
      <c r="R287" s="95">
        <f>SUM(R255:R286)</f>
        <v>415662945</v>
      </c>
      <c r="T287" t="s">
        <v>25</v>
      </c>
    </row>
    <row r="288" spans="17:20">
      <c r="Q288" s="99"/>
      <c r="R288" s="99" t="s">
        <v>6</v>
      </c>
      <c r="T288" t="s">
        <v>25</v>
      </c>
    </row>
    <row r="292" spans="20:20">
      <c r="T292" t="s">
        <v>25</v>
      </c>
    </row>
    <row r="293" spans="20:20">
      <c r="T293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31:I138 G129:G130 G149:G1048576 G139:G140 G142 G96:G120">
    <cfRule type="cellIs" dxfId="11" priority="12" operator="lessThan">
      <formula>0</formula>
    </cfRule>
  </conditionalFormatting>
  <conditionalFormatting sqref="G121">
    <cfRule type="cellIs" dxfId="10" priority="11" operator="lessThan">
      <formula>0</formula>
    </cfRule>
  </conditionalFormatting>
  <conditionalFormatting sqref="G124">
    <cfRule type="cellIs" dxfId="9" priority="3" operator="lessThan">
      <formula>0</formula>
    </cfRule>
  </conditionalFormatting>
  <conditionalFormatting sqref="G122">
    <cfRule type="cellIs" dxfId="8" priority="6" operator="lessThan">
      <formula>0</formula>
    </cfRule>
  </conditionalFormatting>
  <conditionalFormatting sqref="G125 G127">
    <cfRule type="cellIs" dxfId="7" priority="4" operator="lessThan">
      <formula>0</formula>
    </cfRule>
  </conditionalFormatting>
  <conditionalFormatting sqref="G128">
    <cfRule type="cellIs" dxfId="6" priority="1" operator="lessThan">
      <formula>0</formula>
    </cfRule>
  </conditionalFormatting>
  <conditionalFormatting sqref="G123">
    <cfRule type="cellIs" dxfId="5" priority="5" operator="lessThan">
      <formula>0</formula>
    </cfRule>
  </conditionalFormatting>
  <conditionalFormatting sqref="G126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4 S130 S101 S43 S46 S49 S15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79" zoomScale="90" zoomScaleNormal="90" workbookViewId="0">
      <selection activeCell="L98" sqref="L98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4970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4970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4970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4926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4970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4972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4986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4914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4913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4924</v>
      </c>
      <c r="J83" s="86">
        <f>L83-L82+31412200</f>
        <v>20439704</v>
      </c>
      <c r="K83" s="192" t="s">
        <v>4915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4925</v>
      </c>
      <c r="J84" s="189">
        <f t="shared" si="12"/>
        <v>21224293</v>
      </c>
      <c r="K84" s="190" t="s">
        <v>4926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4940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4954</v>
      </c>
      <c r="J87" s="197">
        <f>L87-L86-20000</f>
        <v>7878257</v>
      </c>
      <c r="K87" s="191" t="s">
        <v>4941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4957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5001</v>
      </c>
      <c r="J90" s="197">
        <f>L90-L89-1000000</f>
        <v>3840350</v>
      </c>
      <c r="K90" s="191" t="s">
        <v>4970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99" si="16">M90-M89</f>
        <v>-974915</v>
      </c>
      <c r="P90" s="197">
        <f>N90-N89-1000000</f>
        <v>2865435</v>
      </c>
    </row>
    <row r="91" spans="6:16">
      <c r="I91" s="215"/>
      <c r="J91" s="113">
        <f t="shared" ref="J90:J99" si="17">L91-L90</f>
        <v>-12127865</v>
      </c>
      <c r="K91" s="215" t="s">
        <v>4972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0:P99" si="18">N91-N90</f>
        <v>-15338040</v>
      </c>
    </row>
    <row r="92" spans="6:16">
      <c r="I92" s="215"/>
      <c r="J92" s="113">
        <f t="shared" si="17"/>
        <v>11765514</v>
      </c>
      <c r="K92" s="215" t="s">
        <v>4986</v>
      </c>
      <c r="L92" s="84">
        <v>685113138</v>
      </c>
      <c r="M92" s="84">
        <v>311743933</v>
      </c>
      <c r="N92" s="113">
        <f t="shared" ref="N92:N98" si="19">L92+M92</f>
        <v>996857071</v>
      </c>
      <c r="O92" s="113">
        <f t="shared" ref="O92:O98" si="20">M92-M91</f>
        <v>2923148</v>
      </c>
      <c r="P92" s="113">
        <f t="shared" ref="P92:P98" si="21">N92-N91</f>
        <v>14688662</v>
      </c>
    </row>
    <row r="93" spans="6:16">
      <c r="I93" s="215"/>
      <c r="J93" s="113">
        <f t="shared" si="17"/>
        <v>2886862</v>
      </c>
      <c r="K93" s="215" t="s">
        <v>4991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4992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5000</v>
      </c>
      <c r="J95" s="197">
        <f>L95-L94-2520000</f>
        <v>-274657</v>
      </c>
      <c r="K95" s="191" t="s">
        <v>4995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-700696212</v>
      </c>
      <c r="K96" s="215"/>
      <c r="L96" s="84"/>
      <c r="M96" s="84"/>
      <c r="N96" s="113">
        <f t="shared" si="19"/>
        <v>0</v>
      </c>
      <c r="O96" s="113">
        <f t="shared" si="20"/>
        <v>-314277518</v>
      </c>
      <c r="P96" s="113">
        <f t="shared" si="21"/>
        <v>-1014973730</v>
      </c>
    </row>
    <row r="97" spans="9:17">
      <c r="I97" s="215"/>
      <c r="J97" s="113">
        <f t="shared" si="17"/>
        <v>0</v>
      </c>
      <c r="K97" s="215"/>
      <c r="L97" s="84"/>
      <c r="M97" s="84"/>
      <c r="N97" s="113">
        <f t="shared" si="19"/>
        <v>0</v>
      </c>
      <c r="O97" s="113">
        <f t="shared" si="20"/>
        <v>0</v>
      </c>
      <c r="P97" s="113">
        <f t="shared" si="21"/>
        <v>0</v>
      </c>
      <c r="Q97" t="s">
        <v>25</v>
      </c>
    </row>
    <row r="98" spans="9:17">
      <c r="I98" s="215"/>
      <c r="J98" s="113">
        <f t="shared" si="17"/>
        <v>0</v>
      </c>
      <c r="K98" s="215"/>
      <c r="L98" s="84"/>
      <c r="M98" s="84"/>
      <c r="N98" s="113">
        <f t="shared" si="19"/>
        <v>0</v>
      </c>
      <c r="O98" s="113">
        <f t="shared" si="20"/>
        <v>0</v>
      </c>
      <c r="P98" s="113">
        <f t="shared" si="21"/>
        <v>0</v>
      </c>
    </row>
    <row r="99" spans="9:17">
      <c r="I99" s="215"/>
      <c r="J99" s="113">
        <f t="shared" si="17"/>
        <v>0</v>
      </c>
      <c r="K99" s="215"/>
      <c r="L99" s="84">
        <v>0</v>
      </c>
      <c r="M99" s="84"/>
      <c r="N99" s="215"/>
      <c r="O99" s="113">
        <f t="shared" si="16"/>
        <v>0</v>
      </c>
      <c r="P99" s="113">
        <f t="shared" si="18"/>
        <v>0</v>
      </c>
    </row>
    <row r="103" spans="9:17">
      <c r="N103" t="s">
        <v>25</v>
      </c>
      <c r="O103" t="s">
        <v>25</v>
      </c>
    </row>
    <row r="104" spans="9:17">
      <c r="P104" t="s">
        <v>25</v>
      </c>
    </row>
    <row r="105" spans="9:17">
      <c r="N105" t="s">
        <v>25</v>
      </c>
    </row>
    <row r="106" spans="9:17">
      <c r="N106" t="s">
        <v>25</v>
      </c>
      <c r="O106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4915</v>
      </c>
      <c r="B45" s="113">
        <v>2060725</v>
      </c>
      <c r="C45" s="99" t="s">
        <v>4920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4952</v>
      </c>
      <c r="B46" s="113">
        <v>-1073169</v>
      </c>
      <c r="C46" s="99" t="s">
        <v>4953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4941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4941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4957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4964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4965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4972</v>
      </c>
      <c r="B52" s="113">
        <v>-195330</v>
      </c>
      <c r="C52" s="99" t="s">
        <v>4979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4986</v>
      </c>
      <c r="B53" s="113">
        <v>-140730</v>
      </c>
      <c r="C53" s="99" t="s">
        <v>4993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4991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4991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4995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4915</v>
      </c>
      <c r="B28" s="18">
        <v>433375</v>
      </c>
      <c r="C28" s="18">
        <v>0</v>
      </c>
      <c r="D28" s="113">
        <f t="shared" si="0"/>
        <v>433375</v>
      </c>
      <c r="E28" s="19" t="s">
        <v>4920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4926</v>
      </c>
      <c r="B30" s="18">
        <v>-300000</v>
      </c>
      <c r="C30" s="18">
        <v>0</v>
      </c>
      <c r="D30" s="113">
        <f t="shared" si="0"/>
        <v>-300000</v>
      </c>
      <c r="E30" s="19" t="s">
        <v>4929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4938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4912</v>
      </c>
    </row>
    <row r="74" spans="1:22">
      <c r="D74" s="18">
        <v>-200000</v>
      </c>
      <c r="E74" s="96" t="s">
        <v>4921</v>
      </c>
    </row>
    <row r="75" spans="1:22">
      <c r="D75" s="18">
        <v>-2000000</v>
      </c>
      <c r="E75" s="96" t="s">
        <v>4927</v>
      </c>
    </row>
    <row r="76" spans="1:22">
      <c r="D76" s="18">
        <v>92800</v>
      </c>
      <c r="E76" s="96" t="s">
        <v>4934</v>
      </c>
    </row>
    <row r="77" spans="1:22">
      <c r="D77" s="18">
        <v>1417727</v>
      </c>
      <c r="E77" s="96" t="s">
        <v>4938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4926</v>
      </c>
      <c r="B25" s="95">
        <v>0</v>
      </c>
      <c r="C25" s="95">
        <v>1000</v>
      </c>
      <c r="D25" s="99" t="s">
        <v>315</v>
      </c>
    </row>
    <row r="26" spans="1:9">
      <c r="A26" s="99" t="s">
        <v>4970</v>
      </c>
      <c r="B26" s="95">
        <v>0</v>
      </c>
      <c r="C26" s="95">
        <v>12000</v>
      </c>
      <c r="D26" s="99" t="s">
        <v>4985</v>
      </c>
    </row>
    <row r="27" spans="1:9">
      <c r="A27" s="99" t="s">
        <v>4972</v>
      </c>
      <c r="B27" s="95">
        <v>0</v>
      </c>
      <c r="C27" s="95">
        <v>1000</v>
      </c>
      <c r="D27" s="99" t="s">
        <v>315</v>
      </c>
    </row>
    <row r="28" spans="1:9">
      <c r="A28" s="99" t="s">
        <v>4986</v>
      </c>
      <c r="B28" s="95">
        <v>0</v>
      </c>
      <c r="C28" s="95">
        <v>1000</v>
      </c>
      <c r="D28" s="99" t="s">
        <v>315</v>
      </c>
    </row>
    <row r="29" spans="1:9">
      <c r="A29" s="99" t="s">
        <v>4991</v>
      </c>
      <c r="B29" s="95">
        <v>0</v>
      </c>
      <c r="C29" s="95">
        <v>1000</v>
      </c>
      <c r="D29" s="99" t="s">
        <v>315</v>
      </c>
    </row>
    <row r="30" spans="1:9">
      <c r="A30" s="99" t="s">
        <v>4992</v>
      </c>
      <c r="B30" s="95">
        <v>0</v>
      </c>
      <c r="C30" s="95">
        <v>5500</v>
      </c>
      <c r="D30" s="99" t="s">
        <v>4763</v>
      </c>
    </row>
    <row r="31" spans="1:9">
      <c r="A31" s="99" t="s">
        <v>4992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2019-04-13T09:17:06Z</dcterms:modified>
</cp:coreProperties>
</file>