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153" i="18" l="1"/>
  <c r="W255" i="18"/>
  <c r="S154" i="52"/>
  <c r="K113" i="18"/>
  <c r="W254" i="18"/>
  <c r="O150" i="52"/>
  <c r="N29" i="60"/>
  <c r="D77" i="52" l="1"/>
  <c r="AD59" i="52" l="1"/>
  <c r="Q146" i="52"/>
  <c r="J146" i="52"/>
  <c r="W253" i="18"/>
  <c r="P25" i="18"/>
  <c r="N25"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J151" i="52"/>
  <c r="N150" i="52"/>
  <c r="P150" i="52" s="1"/>
  <c r="J150" i="52"/>
  <c r="O149" i="52"/>
  <c r="N149" i="52"/>
  <c r="J149" i="52"/>
  <c r="O148" i="52"/>
  <c r="N148" i="52"/>
  <c r="J148" i="52"/>
  <c r="O147" i="52"/>
  <c r="N147" i="52"/>
  <c r="J147" i="52"/>
  <c r="N146" i="52"/>
  <c r="P157" i="52" l="1"/>
  <c r="P148" i="52"/>
  <c r="P160" i="52"/>
  <c r="P159" i="52"/>
  <c r="P158" i="52"/>
  <c r="P156" i="52"/>
  <c r="P155" i="52"/>
  <c r="P154" i="52"/>
  <c r="P153" i="52"/>
  <c r="P152" i="52"/>
  <c r="P151" i="52"/>
  <c r="P149" i="52"/>
  <c r="P147" i="52"/>
  <c r="O145" i="52"/>
  <c r="J145" i="52"/>
  <c r="J144" i="52"/>
  <c r="J143" i="52"/>
  <c r="W252" i="18" l="1"/>
  <c r="G136" i="18" l="1"/>
  <c r="J136" i="18" s="1"/>
  <c r="J138" i="18" s="1"/>
  <c r="I138" i="18" s="1"/>
  <c r="G130" i="18"/>
  <c r="J130" i="18" s="1"/>
  <c r="G129" i="18"/>
  <c r="J129" i="18" s="1"/>
  <c r="W251" i="18"/>
  <c r="J132" i="18" l="1"/>
  <c r="I132" i="18" s="1"/>
  <c r="O142" i="52"/>
  <c r="J142" i="52"/>
  <c r="N47" i="18"/>
  <c r="P22" i="18"/>
  <c r="N22" i="18" s="1"/>
  <c r="W250" i="18"/>
  <c r="P23" i="18"/>
  <c r="P31" i="18" l="1"/>
  <c r="N31" i="18" s="1"/>
  <c r="O140" i="52"/>
  <c r="J140" i="52"/>
  <c r="W249" i="18"/>
  <c r="P24" i="18" l="1"/>
  <c r="N24" i="18" s="1"/>
  <c r="P30" i="18"/>
  <c r="N30" i="18" s="1"/>
  <c r="N49" i="18"/>
  <c r="N40" i="18"/>
  <c r="W248" i="18" l="1"/>
  <c r="W247" i="18"/>
  <c r="O139" i="52"/>
  <c r="J139" i="52"/>
  <c r="AB73" i="52"/>
  <c r="AD73" i="52" l="1"/>
  <c r="AC73" i="52"/>
  <c r="W246" i="18"/>
  <c r="AB72" i="52" l="1"/>
  <c r="AD72" i="52" s="1"/>
  <c r="AB71" i="52"/>
  <c r="AD71" i="52" s="1"/>
  <c r="AC72" i="52" l="1"/>
  <c r="AC71" i="52"/>
  <c r="M41" i="52"/>
  <c r="O135" i="52" l="1"/>
  <c r="J135" i="52"/>
  <c r="AD57" i="52"/>
  <c r="AB69" i="52"/>
  <c r="AD69" i="52" s="1"/>
  <c r="AB70" i="52"/>
  <c r="AD70" i="52" s="1"/>
  <c r="AC70" i="52" l="1"/>
  <c r="AC69" i="52"/>
  <c r="W245" i="18" l="1"/>
  <c r="O132" i="52" l="1"/>
  <c r="W244" i="18"/>
  <c r="O131" i="52" l="1"/>
  <c r="H3" i="60"/>
  <c r="H4" i="60"/>
  <c r="H5" i="60"/>
  <c r="H2" i="60"/>
  <c r="G9" i="60"/>
  <c r="G7" i="60"/>
  <c r="O130" i="52" l="1"/>
  <c r="O129" i="52"/>
  <c r="W243" i="18"/>
  <c r="S201" i="18"/>
  <c r="W242" i="18"/>
  <c r="AL285" i="18" l="1"/>
  <c r="AM285" i="18" s="1"/>
  <c r="N129" i="52"/>
  <c r="AL284" i="18" l="1"/>
  <c r="O127" i="52"/>
  <c r="AM284" i="18" l="1"/>
  <c r="AL283" i="18"/>
  <c r="J126" i="52"/>
  <c r="O126" i="52"/>
  <c r="W241" i="18"/>
  <c r="AM283" i="18" l="1"/>
  <c r="AL282" i="18"/>
  <c r="O125" i="52"/>
  <c r="J125" i="52"/>
  <c r="AM282" i="18" l="1"/>
  <c r="AL281" i="18"/>
  <c r="U257" i="18"/>
  <c r="W24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8" i="18"/>
  <c r="AL277" i="18" l="1"/>
  <c r="AM278" i="18"/>
  <c r="D73" i="58"/>
  <c r="AM277" i="18" l="1"/>
  <c r="AL276" i="18"/>
  <c r="O121" i="52"/>
  <c r="J121" i="52"/>
  <c r="W237" i="18"/>
  <c r="AM276" i="18" l="1"/>
  <c r="AL275" i="18"/>
  <c r="W236" i="18"/>
  <c r="J120" i="52"/>
  <c r="M108" i="18"/>
  <c r="AM275" i="18" l="1"/>
  <c r="AL274" i="18"/>
  <c r="AM274" i="18" l="1"/>
  <c r="AL273" i="18"/>
  <c r="O117" i="52"/>
  <c r="AM273" i="18" l="1"/>
  <c r="AL272" i="18"/>
  <c r="O116" i="52"/>
  <c r="N116" i="52"/>
  <c r="AL271" i="18" l="1"/>
  <c r="AM272" i="18"/>
  <c r="W23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4" i="18"/>
  <c r="J108" i="52"/>
  <c r="AM263" i="18" l="1"/>
  <c r="AL262" i="18"/>
  <c r="D303" i="15"/>
  <c r="F304" i="15"/>
  <c r="W233" i="18"/>
  <c r="W232" i="18"/>
  <c r="AM262" i="18" l="1"/>
  <c r="AL261" i="18"/>
  <c r="F303" i="15"/>
  <c r="D302" i="15"/>
  <c r="O106" i="52"/>
  <c r="J106" i="52"/>
  <c r="D301" i="15" l="1"/>
  <c r="F302" i="15"/>
  <c r="J104" i="52"/>
  <c r="G123" i="18"/>
  <c r="E276" i="15"/>
  <c r="E277" i="15"/>
  <c r="E278" i="15"/>
  <c r="E279" i="15"/>
  <c r="E280" i="15"/>
  <c r="D300" i="15" l="1"/>
  <c r="F301" i="15"/>
  <c r="W23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9" i="18"/>
  <c r="J90" i="52"/>
  <c r="J95" i="52"/>
  <c r="W22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7" i="18"/>
  <c r="T273" i="18" s="1"/>
  <c r="W228" i="18"/>
  <c r="W227" i="18"/>
  <c r="W226" i="18"/>
  <c r="M48" i="52"/>
  <c r="M47" i="52"/>
  <c r="N38" i="52"/>
  <c r="N37" i="52"/>
  <c r="M49" i="52"/>
  <c r="N50" i="52" s="1"/>
  <c r="AM252" i="18" l="1"/>
  <c r="AL251" i="18"/>
  <c r="D287" i="15"/>
  <c r="F288" i="15"/>
  <c r="N49" i="52"/>
  <c r="W225" i="18"/>
  <c r="AM251" i="18" l="1"/>
  <c r="AL250" i="18"/>
  <c r="F287" i="15"/>
  <c r="D286" i="15"/>
  <c r="J123" i="18"/>
  <c r="J125" i="18" l="1"/>
  <c r="I125" i="18" s="1"/>
  <c r="AL249" i="18"/>
  <c r="AM250" i="18"/>
  <c r="D285" i="15"/>
  <c r="F286" i="15"/>
  <c r="W22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47" i="18" l="1"/>
  <c r="AL246" i="18"/>
  <c r="F283" i="15"/>
  <c r="D282" i="15"/>
  <c r="G32" i="57"/>
  <c r="H32" i="57"/>
  <c r="D32" i="57"/>
  <c r="I32" i="57" s="1"/>
  <c r="D345" i="20"/>
  <c r="W222" i="18"/>
  <c r="W221" i="18"/>
  <c r="AL245" i="18" l="1"/>
  <c r="AM246"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286" i="18"/>
  <c r="D276" i="15" l="1"/>
  <c r="F276" i="15" s="1"/>
  <c r="F277" i="15"/>
  <c r="W216" i="18"/>
  <c r="D340" i="20" l="1"/>
  <c r="W215" i="18"/>
  <c r="H337" i="20"/>
  <c r="H338" i="20"/>
  <c r="H339" i="20"/>
  <c r="H340" i="20"/>
  <c r="H341" i="20"/>
  <c r="H368" i="20"/>
  <c r="H369" i="20"/>
  <c r="D339" i="20"/>
  <c r="O71" i="18" l="1"/>
  <c r="O70" i="18"/>
  <c r="O69" i="18"/>
  <c r="B371" i="20"/>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8"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2" i="18" l="1"/>
  <c r="D313" i="20"/>
  <c r="AL241" i="18" l="1"/>
  <c r="AM242" i="18"/>
  <c r="L114" i="18"/>
  <c r="L111" i="18" s="1"/>
  <c r="N111" i="18" s="1"/>
  <c r="L110" i="18" l="1"/>
  <c r="M114" i="18"/>
  <c r="AM241" i="18"/>
  <c r="AL240" i="18"/>
  <c r="L106" i="18"/>
  <c r="W199" i="18"/>
  <c r="W198"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7" i="18"/>
  <c r="W196" i="18"/>
  <c r="N23" i="52"/>
  <c r="N22" i="52"/>
  <c r="Z24" i="52"/>
  <c r="AD24" i="52"/>
  <c r="AE24" i="52"/>
  <c r="I368" i="20" l="1"/>
  <c r="G367" i="20"/>
  <c r="J368" i="20"/>
  <c r="K368" i="20"/>
  <c r="AL237" i="18"/>
  <c r="AM238" i="18"/>
  <c r="W195" i="18"/>
  <c r="W19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3" i="18"/>
  <c r="W19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1" i="18"/>
  <c r="W190"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3" i="18"/>
  <c r="AM120" i="18" l="1"/>
  <c r="AL119" i="18"/>
  <c r="AM119" i="18" l="1"/>
  <c r="AL118" i="18"/>
  <c r="T152" i="18"/>
  <c r="S65" i="18"/>
  <c r="S66" i="18" s="1"/>
  <c r="S67" i="18" s="1"/>
  <c r="R173" i="18"/>
  <c r="R171" i="18"/>
  <c r="D57" i="51"/>
  <c r="AL117" i="18" l="1"/>
  <c r="AM118" i="18"/>
  <c r="S68" i="18"/>
  <c r="S69" i="18" s="1"/>
  <c r="AM117" i="18" l="1"/>
  <c r="AL116" i="18"/>
  <c r="S70" i="18"/>
  <c r="S71" i="18" s="1"/>
  <c r="S72" i="18" s="1"/>
  <c r="N33" i="18"/>
  <c r="Q85" i="18" s="1"/>
  <c r="R17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9"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4" i="18" l="1"/>
  <c r="R168" i="18"/>
  <c r="R181" i="18" s="1"/>
  <c r="M106" i="18"/>
  <c r="N106" i="18" s="1"/>
  <c r="N114" i="18" s="1"/>
  <c r="AJ186" i="18"/>
  <c r="AJ187" i="18" s="1"/>
  <c r="S112" i="18"/>
  <c r="G305" i="20"/>
  <c r="I306" i="20"/>
  <c r="K306" i="20"/>
  <c r="J306" i="20"/>
  <c r="AL74" i="18"/>
  <c r="AM75" i="18"/>
  <c r="U273" i="18" l="1"/>
  <c r="T260" i="18"/>
  <c r="V263" i="18" s="1"/>
  <c r="G304" i="20"/>
  <c r="I305" i="20"/>
  <c r="K305" i="20"/>
  <c r="J305" i="20"/>
  <c r="AL73" i="18"/>
  <c r="AM74" i="18"/>
  <c r="R89" i="18"/>
  <c r="V58" i="18" l="1"/>
  <c r="W58" i="18" s="1"/>
  <c r="V83" i="18"/>
  <c r="V56" i="18"/>
  <c r="W56" i="18" s="1"/>
  <c r="V57" i="18"/>
  <c r="V55" i="18"/>
  <c r="W55" i="18" s="1"/>
  <c r="V82" i="18"/>
  <c r="V81" i="18"/>
  <c r="W81" i="18" s="1"/>
  <c r="V54" i="18"/>
  <c r="V53" i="18"/>
  <c r="X53" i="18" s="1"/>
  <c r="V80" i="18"/>
  <c r="V52" i="18"/>
  <c r="X52" i="18" s="1"/>
  <c r="V79" i="18"/>
  <c r="S157" i="18"/>
  <c r="U157" i="18" s="1"/>
  <c r="V157"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73" i="18"/>
  <c r="V31" i="18"/>
  <c r="W31" i="18" s="1"/>
  <c r="V30" i="18"/>
  <c r="W30" i="18" s="1"/>
  <c r="V71" i="18"/>
  <c r="V111" i="18"/>
  <c r="V143"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X58" i="18" l="1"/>
  <c r="W83" i="18"/>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6" i="18"/>
  <c r="R165" i="18" s="1"/>
  <c r="G302" i="20"/>
  <c r="K303" i="20"/>
  <c r="I303" i="20"/>
  <c r="J303" i="20"/>
  <c r="X31" i="18"/>
  <c r="X30" i="18"/>
  <c r="W71" i="18"/>
  <c r="X71" i="18"/>
  <c r="W143" i="18"/>
  <c r="X143"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5" i="18"/>
  <c r="S154"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4" i="18" l="1"/>
  <c r="R164" i="18"/>
  <c r="W112" i="18"/>
  <c r="U156" i="18"/>
  <c r="V156" i="18" s="1"/>
  <c r="N36" i="18"/>
  <c r="L21" i="18" s="1"/>
  <c r="U155" i="18"/>
  <c r="V155"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40" i="18" l="1"/>
  <c r="W140" i="18" s="1"/>
  <c r="S141" i="18"/>
  <c r="X140" i="18"/>
  <c r="J242" i="20"/>
  <c r="K242" i="20"/>
  <c r="G241" i="20"/>
  <c r="I242" i="20"/>
  <c r="F237" i="15"/>
  <c r="D236" i="15"/>
  <c r="E164" i="13"/>
  <c r="G165" i="13"/>
  <c r="D159" i="20"/>
  <c r="S142" i="18" l="1"/>
  <c r="V142" i="18" s="1"/>
  <c r="V141" i="18"/>
  <c r="K241" i="20"/>
  <c r="I241" i="20"/>
  <c r="G240" i="20"/>
  <c r="J241" i="20"/>
  <c r="D235" i="15"/>
  <c r="F236" i="15"/>
  <c r="E163" i="13"/>
  <c r="G164" i="13"/>
  <c r="D158" i="20"/>
  <c r="D157" i="20"/>
  <c r="W141" i="18" l="1"/>
  <c r="X141" i="18"/>
  <c r="X142" i="18"/>
  <c r="W142"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<sst xmlns="http://schemas.openxmlformats.org/spreadsheetml/2006/main" count="12095" uniqueCount="5155">
  <si>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</si>
  <si>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</si>
  <si>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</si>
  <si>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</si>
  <si>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</si>
  <si>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</si>
  <si>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</si>
  <si>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</si>
  <si>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</si>
  <si>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</si>
  <si>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</si>
  <si>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</si>
  <si>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</si>
  <si>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</si>
  <si>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</si>
  <si>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</si>
  <si>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</si>
  <si>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</si>
  <si>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</si>
  <si>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</si>
  <si>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</si>
  <si>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</si>
  <si>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</si>
  <si>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</si>
  <si>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</si>
  <si>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</si>
  <si>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</si>
  <si>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</si>
  <si>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</si>
  <si>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</si>
  <si>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</si>
  <si>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</si>
  <si>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</si>
  <si>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</si>
  <si>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</si>
  <si>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</si>
  <si>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</si>
  <si>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</si>
  <si>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</si>
  <si>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</si>
  <si>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</si>
  <si>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</si>
  <si>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</si>
  <si>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</si>
  <si>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</si>
  <si>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</si>
  <si>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</si>
  <si>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</si>
  <si>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</si>
  <si>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</si>
  <si>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</si>
  <si>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</si>
  <si>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</si>
  <si>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</si>
  <si>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</si>
  <si>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</si>
  <si>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</si>
  <si>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</si>
  <si>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</si>
  <si>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</si>
  <si>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</si>
  <si>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</si>
  <si>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</si>
  <si>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</si>
  <si>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</si>
  <si>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</si>
  <si>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</si>
  <si>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</si>
  <si>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</si>
  <si>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</si>
  <si>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</si>
  <si>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</si>
  <si>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</si>
  <si>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</si>
  <si>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</si>
  <si>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</si>
  <si>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</si>
  <si>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</si>
  <si>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</si>
  <si>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</si>
  <si>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</si>
  <si>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</si>
  <si>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</si>
  <si>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</si>
  <si>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</si>
  <si>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</si>
  <si>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</si>
  <si>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</si>
  <si>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</si>
  <si>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</si>
  <si>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</si>
  <si>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</si>
  <si>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</si>
  <si>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</si>
  <si>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</si>
  <si>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</si>
  <si>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</si>
  <si>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</si>
  <si>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</si>
  <si>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</si>
  <si>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</si>
  <si>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</si>
  <si>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</si>
  <si>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</si>
  <si>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</si>
  <si>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</si>
  <si>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</si>
  <si>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</si>
  <si>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</si>
  <si>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</si>
  <si>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</si>
  <si>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</si>
  <si>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</si>
  <si>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</si>
  <si>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</si>
  <si>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</si>
  <si>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</si>
  <si>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</si>
  <si>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</si>
  <si>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</si>
  <si>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</si>
  <si>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</si>
  <si>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</si>
  <si>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</si>
  <si>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</si>
  <si>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</si>
  <si>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</si>
  <si>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</si>
  <si>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</si>
  <si>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</si>
  <si>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</si>
  <si>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</si>
  <si>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</si>
  <si>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</si>
  <si>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</si>
  <si>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</si>
  <si>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</si>
  <si>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</si>
  <si>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</si>
  <si>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</si>
  <si>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</si>
  <si>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</si>
  <si>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</si>
  <si>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</si>
  <si>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</si>
  <si>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</si>
  <si>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</si>
  <si>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</si>
  <si>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</si>
  <si>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</si>
  <si>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</si>
  <si>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</si>
  <si>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</si>
  <si>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</si>
  <si>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</si>
  <si>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</si>
  <si>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</si>
  <si>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</si>
  <si>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</si>
  <si>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</si>
  <si>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</si>
  <si>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</si>
  <si>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</si>
  <si>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</si>
  <si>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</si>
  <si>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</si>
  <si>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</si>
  <si>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</si>
  <si>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</si>
  <si>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</si>
  <si>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</si>
  <si>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</si>
  <si>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</si>
  <si>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</si>
  <si>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</si>
  <si>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</si>
  <si>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</si>
  <si>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</si>
  <si>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</si>
  <si>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</si>
  <si>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</si>
  <si>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</si>
  <si>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</si>
  <si>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</si>
  <si>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</si>
  <si>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</si>
  <si>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</si>
  <si>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</si>
  <si>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</si>
  <si>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</si>
  <si>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</si>
  <si>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</si>
  <si>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</si>
  <si>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</si>
  <si>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</si>
  <si>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</si>
  <si>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</si>
  <si>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</si>
  <si>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</si>
  <si>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</si>
  <si>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</si>
  <si>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</si>
  <si>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</si>
  <si>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</si>
  <si>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</si>
  <si>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</si>
  <si>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</si>
  <si>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</si>
  <si>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</si>
  <si>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</si>
  <si>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</si>
  <si>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</si>
  <si>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</si>
  <si>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</si>
  <si>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</si>
  <si>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</si>
  <si>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</si>
  <si>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</si>
  <si>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</si>
  <si>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</si>
  <si>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</si>
  <si>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</si>
  <si>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</si>
  <si>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</si>
  <si>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</si>
  <si>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</si>
  <si>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</si>
  <si>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</si>
  <si>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</si>
  <si>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</si>
  <si>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</si>
  <si>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</si>
  <si>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</si>
  <si>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</si>
  <si>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</si>
  <si>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</si>
  <si>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</si>
  <si>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</si>
  <si>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</si>
  <si>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</si>
  <si>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</si>
  <si>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</si>
  <si>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</si>
  <si>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</si>
  <si>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</si>
  <si>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</si>
  <si>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</si>
  <si>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</si>
  <si>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</si>
  <si>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</si>
  <si>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</si>
  <si>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</si>
  <si>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</si>
  <si>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</si>
  <si>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</si>
  <si>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</si>
  <si>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</si>
  <si>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</si>
  <si>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</si>
  <si>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</si>
  <si>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</si>
  <si>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</si>
  <si>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</si>
  <si>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</si>
  <si>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</si>
  <si>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</si>
  <si>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</si>
  <si>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</si>
  <si>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</si>
  <si>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</si>
  <si>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</si>
  <si>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</si>
  <si>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</si>
  <si>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</si>
  <si>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</si>
  <si>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</si>
  <si>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</si>
  <si>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</si>
  <si>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</si>
  <si>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</si>
  <si>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</si>
  <si>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</si>
  <si>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</si>
  <si>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</si>
  <si>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</si>
  <si>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</si>
  <si>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</si>
  <si>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</si>
  <si>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</si>
  <si>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</si>
  <si>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</si>
  <si>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</si>
  <si>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</si>
  <si>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</si>
  <si>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</si>
  <si>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</si>
  <si>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</si>
  <si>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</si>
  <si>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</si>
  <si>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</si>
  <si>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</si>
  <si>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</si>
  <si>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</si>
  <si>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</si>
  <si>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</si>
  <si>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</si>
  <si>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</si>
  <si>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</si>
  <si>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</si>
  <si>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</si>
  <si>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</si>
  <si>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</si>
  <si>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</si>
  <si>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</si>
  <si>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</si>
  <si>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</si>
  <si>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</si>
  <si>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</si>
  <si>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</si>
  <si>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</si>
  <si>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</si>
  <si>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</si>
  <si>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</si>
  <si>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</si>
  <si>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</si>
  <si>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</si>
  <si>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</si>
  <si>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</si>
  <si>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</si>
  <si>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</si>
  <si>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</si>
  <si>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</si>
  <si>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</si>
  <si>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</si>
  <si>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</si>
  <si>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</si>
  <si>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</si>
  <si>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</si>
  <si>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</si>
  <si>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</si>
  <si>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</si>
  <si>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</si>
  <si>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</si>
  <si>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</si>
  <si>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</si>
  <si>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</si>
  <si>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</si>
  <si>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</si>
  <si>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</si>
  <si>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</si>
  <si>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</si>
  <si>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</si>
  <si>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</si>
  <si>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</si>
  <si>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</si>
  <si>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</si>
  <si>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</si>
  <si>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</si>
  <si>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</si>
  <si>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</si>
  <si>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</si>
  <si>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</si>
  <si>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</si>
  <si>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</si>
  <si>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</si>
  <si>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</si>
  <si>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</si>
  <si>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</si>
  <si>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</si>
  <si>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</si>
  <si>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</si>
  <si>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</si>
  <si>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</si>
  <si>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</si>
  <si>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</si>
  <si>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</si>
  <si>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</si>
  <si>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</si>
  <si>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</si>
  <si>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</si>
  <si>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</si>
  <si>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</si>
  <si>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</si>
  <si>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</si>
  <si>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</si>
  <si>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</si>
  <si>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</si>
  <si>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</si>
  <si>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</si>
  <si>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</si>
  <si>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</si>
  <si>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</si>
  <si>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</si>
  <si>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</si>
  <si>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</si>
  <si>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</si>
  <si>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</si>
  <si>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</si>
  <si>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</si>
  <si>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</si>
  <si>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</si>
  <si>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</si>
  <si>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</si>
  <si>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</si>
  <si>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</si>
  <si>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</si>
  <si>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</si>
  <si>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</si>
  <si>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</si>
  <si>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</si>
  <si>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</si>
  <si>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</si>
  <si>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</si>
  <si>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</si>
  <si>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</si>
  <si>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</si>
  <si>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</si>
  <si>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</si>
  <si>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</si>
  <si>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</si>
  <si>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</si>
  <si>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</si>
  <si>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</si>
  <si>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</si>
  <si>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</si>
  <si>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</si>
  <si>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</si>
  <si>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</si>
  <si>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</si>
  <si>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</si>
  <si>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</si>
  <si>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</si>
  <si>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</si>
  <si>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</si>
  <si>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</si>
  <si>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</si>
  <si>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</si>
  <si>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</si>
  <si>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</si>
  <si>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</si>
  <si>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</si>
  <si>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</si>
  <si>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</si>
  <si>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</si>
  <si>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</si>
  <si>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</si>
  <si>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</si>
  <si>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</si>
  <si>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</si>
  <si>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</si>
  <si>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</si>
  <si>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</si>
  <si>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</si>
  <si>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</si>
  <si>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</si>
  <si>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</si>
  <si>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</si>
  <si>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</si>
  <si>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</si>
  <si>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</si>
  <si>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</si>
  <si>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</si>
  <si>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</si>
  <si>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</si>
  <si>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</si>
  <si>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</si>
  <si>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</si>
  <si>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</si>
  <si>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</si>
  <si>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</si>
  <si>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</si>
  <si>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</si>
  <si>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</si>
  <si>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</si>
  <si>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</si>
  <si>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</si>
  <si>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</si>
  <si>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</si>
  <si>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</si>
  <si>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</si>
  <si>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</si>
  <si>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</si>
  <si>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</si>
  <si>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</si>
  <si>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</si>
  <si>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</si>
  <si>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</si>
  <si>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</si>
  <si>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</si>
  <si>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</si>
  <si>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</si>
  <si>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</si>
  <si>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</si>
  <si>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</si>
  <si>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</si>
  <si>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</si>
  <si>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</si>
  <si>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</si>
  <si>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</si>
  <si>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</si>
  <si>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</si>
  <si>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</si>
  <si>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</si>
  <si>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</si>
  <si>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</si>
  <si>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</si>
  <si>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</si>
  <si>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</si>
  <si>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</si>
  <si>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</si>
  <si>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</si>
  <si>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</si>
  <si>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</si>
  <si>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</si>
  <si>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</si>
  <si>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</si>
  <si>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</si>
  <si>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</si>
  <si>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</si>
  <si>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</si>
  <si>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</si>
  <si>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</si>
  <si>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</si>
  <si>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</si>
  <si>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</si>
  <si>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</si>
  <si>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</si>
  <si>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</si>
  <si>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</si>
  <si>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</si>
  <si>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</si>
  <si>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</si>
  <si>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</si>
  <si>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</si>
  <si>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</si>
  <si>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</si>
  <si>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</si>
  <si>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</si>
  <si>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</si>
  <si>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</si>
  <si>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</si>
  <si>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</si>
  <si>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</si>
  <si>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</si>
  <si>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</si>
  <si>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</si>
  <si>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</si>
  <si>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</si>
  <si>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</si>
  <si>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</si>
  <si>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</si>
  <si>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</si>
  <si>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</si>
  <si>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</si>
  <si>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</si>
  <si>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</si>
  <si>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</si>
  <si>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</si>
  <si>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</si>
  <si>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</si>
  <si>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</si>
  <si>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</si>
  <si>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</si>
  <si>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</si>
  <si>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</si>
  <si>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</si>
  <si>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</si>
  <si>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</si>
  <si>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</si>
  <si>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</si>
  <si>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</si>
  <si>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</si>
  <si>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</si>
  <si>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</si>
  <si>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</si>
  <si>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</si>
  <si>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</si>
  <si>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</si>
  <si>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</si>
  <si>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</si>
  <si>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</si>
  <si>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</si>
  <si>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</si>
  <si>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</si>
  <si>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</si>
  <si>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</si>
  <si>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</si>
  <si>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</si>
  <si>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</si>
  <si>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</si>
  <si>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</si>
  <si>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</si>
  <si>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</si>
  <si>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</si>
  <si>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</si>
  <si>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</si>
  <si>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</si>
  <si>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</si>
  <si>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</si>
  <si>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</si>
  <si>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</si>
  <si>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</si>
  <si>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</si>
  <si>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</si>
  <si>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</si>
  <si>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</si>
  <si>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</si>
  <si>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</si>
  <si>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</si>
  <si>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</si>
  <si>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</si>
  <si>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</si>
  <si>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</si>
  <si>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</si>
  <si>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</si>
  <si>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</si>
  <si>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</si>
  <si>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</si>
  <si>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</si>
  <si>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</si>
  <si>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</si>
  <si>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</si>
  <si>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</si>
  <si>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</si>
  <si>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</si>
  <si>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</si>
  <si>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</si>
  <si>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</si>
  <si>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</si>
  <si>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</si>
  <si>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</si>
  <si>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</si>
  <si>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</si>
  <si>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</si>
  <si>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</si>
  <si>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</si>
  <si>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</si>
  <si>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</si>
  <si>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</si>
  <si>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</si>
  <si>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</si>
  <si>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</si>
  <si>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</si>
  <si>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</si>
  <si>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</si>
  <si>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</si>
  <si>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</si>
  <si>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</si>
  <si>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</si>
  <si>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</si>
  <si>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</si>
  <si>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</si>
  <si>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</si>
  <si>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</si>
  <si>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</si>
  <si>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</si>
  <si>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</si>
  <si>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</si>
  <si>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</si>
  <si>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</si>
  <si>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</si>
  <si>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</si>
  <si>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</si>
  <si>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</si>
  <si>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</si>
  <si>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</si>
  <si>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</si>
  <si>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</si>
  <si>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</si>
  <si>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</si>
  <si>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</si>
  <si>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</si>
  <si>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</si>
  <si>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</si>
  <si>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</si>
  <si>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</si>
  <si>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</si>
  <si>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</si>
  <si>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</si>
  <si>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</si>
  <si>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</si>
  <si>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</si>
  <si>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</si>
  <si>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</si>
  <si>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</si>
  <si>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</si>
  <si>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</si>
  <si>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</si>
  <si>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</si>
  <si>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</si>
  <si>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</si>
  <si>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</si>
  <si>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</si>
  <si>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</si>
  <si>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</si>
  <si>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</si>
  <si>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</si>
  <si>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</si>
  <si>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</si>
  <si>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</si>
  <si>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</si>
  <si>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</si>
  <si>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</si>
  <si>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</si>
  <si>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</si>
  <si>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</si>
  <si>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</si>
  <si>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</si>
  <si>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</si>
  <si>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</si>
  <si>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</si>
  <si>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</si>
  <si>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</si>
  <si>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</si>
  <si>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</si>
  <si>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</si>
  <si>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</si>
  <si>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</si>
  <si>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</si>
  <si>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</si>
  <si>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</si>
  <si>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</si>
  <si>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</si>
  <si>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</si>
  <si>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</si>
  <si>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</si>
  <si>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</si>
  <si>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</si>
  <si>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</si>
  <si>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</si>
  <si>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</si>
  <si>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</si>
  <si>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</si>
  <si>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</si>
  <si>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</si>
  <si>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</si>
  <si>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</si>
  <si>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</si>
  <si>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</si>
  <si>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</si>
  <si>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</si>
  <si>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</si>
  <si>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</si>
  <si>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</si>
  <si>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</si>
  <si>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</si>
  <si>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</si>
  <si>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</si>
  <si>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</si>
  <si>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</si>
  <si>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</si>
  <si>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</si>
  <si>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</si>
  <si>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</si>
  <si>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</si>
  <si>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</si>
  <si>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</si>
  <si>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</si>
  <si>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</si>
  <si>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</si>
  <si>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</si>
  <si>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</si>
  <si>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</si>
  <si>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</si>
  <si>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</si>
  <si>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</si>
  <si>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</si>
  <si>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</si>
  <si>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</si>
  <si>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</si>
  <si>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</si>
  <si>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</si>
  <si>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</si>
  <si>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</si>
  <si>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</si>
  <si>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</si>
  <si>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</si>
  <si>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</si>
  <si>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</si>
  <si>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</si>
  <si>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</si>
  <si>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</si>
  <si>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</si>
  <si>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</si>
  <si>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</si>
  <si>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</si>
  <si>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</si>
  <si>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</si>
  <si>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</si>
  <si>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</si>
  <si>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</si>
  <si>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</si>
  <si>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</si>
  <si>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</si>
  <si>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</si>
  <si>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</si>
  <si>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</si>
  <si>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</si>
  <si>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</si>
  <si>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</si>
  <si>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</si>
  <si>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</si>
  <si>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</si>
  <si>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</si>
  <si>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</si>
  <si>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</si>
  <si>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</si>
  <si>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</si>
  <si>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</si>
  <si>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</si>
  <si>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</si>
  <si>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</si>
  <si>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</si>
  <si>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</si>
  <si>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</si>
  <si>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</si>
  <si>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</si>
  <si>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</si>
  <si>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</si>
  <si>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</si>
  <si>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</si>
  <si>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</si>
  <si>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</si>
  <si>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</si>
  <si>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</si>
  <si>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</si>
  <si>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</si>
  <si>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</si>
  <si>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</si>
  <si>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</si>
  <si>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</si>
  <si>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</si>
  <si>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</si>
  <si>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</si>
  <si>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</si>
  <si>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</si>
  <si>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</si>
  <si>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</si>
  <si>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</si>
  <si>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</si>
  <si>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</si>
  <si>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</si>
  <si>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</si>
  <si>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</si>
  <si>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</si>
  <si>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</si>
  <si>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</si>
  <si>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</si>
  <si>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</si>
  <si>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</si>
  <si>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</si>
  <si>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</si>
  <si>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</si>
  <si>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</si>
  <si>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</si>
  <si>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</si>
  <si>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</si>
  <si>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</si>
  <si>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</si>
  <si>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</si>
  <si>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</si>
  <si>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</si>
  <si>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</si>
  <si>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</si>
  <si>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</si>
  <si>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</si>
  <si>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</si>
  <si>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</si>
  <si>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</si>
  <si>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</si>
  <si>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</si>
  <si>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</si>
  <si>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</si>
  <si>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</si>
  <si>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</si>
  <si>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</si>
  <si>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</si>
  <si>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</si>
  <si>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</si>
  <si>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</si>
  <si>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</si>
  <si>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</si>
  <si>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</si>
  <si>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</si>
  <si>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</si>
  <si>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</si>
  <si>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</si>
  <si>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</si>
  <si>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</si>
  <si>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</si>
  <si>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</si>
  <si>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</si>
  <si>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</si>
  <si>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</si>
  <si>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</si>
  <si>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</si>
  <si>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</si>
  <si>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</si>
  <si>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</si>
  <si>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</si>
  <si>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</si>
  <si>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</si>
  <si>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</si>
  <si>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</si>
  <si>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</si>
  <si>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</si>
  <si>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</si>
  <si>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</si>
  <si>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</si>
  <si>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</si>
  <si>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</si>
  <si>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</si>
  <si>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</si>
  <si>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</si>
  <si>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</si>
  <si>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</si>
  <si>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</si>
  <si>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</si>
  <si>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</si>
  <si>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</si>
  <si>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</si>
  <si>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</si>
  <si>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</si>
  <si>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</si>
  <si>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</si>
  <si>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</si>
  <si>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</si>
  <si>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</si>
  <si>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</si>
  <si>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</si>
  <si>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</si>
  <si>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</si>
  <si>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</si>
  <si>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</si>
  <si>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</si>
  <si>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</si>
  <si>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</si>
  <si>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</si>
  <si>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</si>
  <si>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</si>
  <si>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</si>
  <si>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</si>
  <si>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</si>
  <si>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</si>
  <si>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</si>
  <si>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</si>
  <si>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</si>
  <si>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</si>
  <si>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</si>
  <si>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</si>
  <si>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</si>
  <si>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</si>
  <si>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</si>
  <si>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</si>
  <si>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</si>
  <si>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</si>
  <si>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</si>
  <si>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</si>
  <si>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</si>
  <si>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</si>
  <si>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</si>
  <si>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</si>
  <si>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</si>
  <si>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</si>
  <si>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</si>
  <si>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</si>
  <si>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</si>
  <si>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</si>
  <si>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</si>
  <si>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</si>
  <si>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</si>
  <si>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</si>
  <si>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</si>
  <si>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</si>
  <si>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</si>
  <si>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</si>
  <si>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</si>
  <si>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</si>
  <si>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</si>
  <si>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</si>
  <si>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</si>
  <si>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</si>
  <si>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</si>
  <si>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</si>
  <si>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</si>
  <si>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</si>
  <si>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</si>
  <si>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</si>
  <si>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</si>
  <si>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</si>
  <si>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</si>
  <si>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</si>
  <si>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</si>
  <si>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</si>
  <si>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</si>
  <si>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</si>
  <si>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</si>
  <si>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</si>
  <si>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</si>
  <si>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</si>
  <si>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</si>
  <si>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</si>
  <si>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</si>
  <si>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</si>
  <si>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</si>
  <si>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</si>
  <si>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</si>
  <si>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</si>
  <si>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</si>
  <si>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</si>
  <si>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</si>
  <si>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</si>
  <si>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</si>
  <si>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</si>
  <si>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</si>
  <si>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</si>
  <si>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</si>
  <si>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</si>
  <si>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</si>
  <si>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</si>
  <si>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</si>
  <si>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</si>
  <si>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</si>
  <si>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</si>
  <si>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</si>
  <si>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</si>
  <si>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</si>
  <si>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</si>
  <si>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</si>
  <si>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</si>
  <si>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</si>
  <si>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</si>
  <si>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</si>
  <si>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</si>
  <si>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</si>
  <si>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</si>
  <si>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</si>
  <si>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</si>
  <si>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</si>
  <si>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</si>
  <si>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</si>
  <si>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</si>
  <si>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</si>
  <si>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</si>
  <si>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</si>
  <si>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</si>
  <si>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</si>
  <si>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</si>
  <si>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</si>
  <si>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</si>
  <si>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</si>
  <si>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</si>
  <si>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</si>
  <si>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</si>
  <si>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</si>
  <si>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</si>
  <si>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</si>
  <si>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</si>
  <si>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</si>
  <si>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</si>
  <si>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</si>
  <si>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</si>
  <si>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</si>
  <si>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</si>
  <si>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</si>
  <si>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</si>
  <si>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</si>
  <si>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</si>
  <si>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</si>
  <si>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</si>
  <si>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</si>
  <si>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</si>
  <si>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</si>
  <si>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</si>
  <si>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</si>
  <si>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</si>
  <si>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</si>
  <si>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</si>
  <si>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</si>
  <si>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</si>
  <si>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</si>
  <si>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</si>
  <si>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</si>
  <si>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</si>
  <si>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</si>
  <si>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</si>
  <si>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</si>
  <si>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</si>
  <si>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</si>
  <si>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</si>
  <si>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</si>
  <si>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</si>
  <si>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</si>
  <si>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</si>
  <si>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</si>
  <si>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</si>
  <si>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</si>
  <si>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</si>
  <si>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</si>
  <si>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</si>
  <si>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</si>
  <si>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</si>
  <si>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</si>
  <si>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</si>
  <si>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</si>
  <si>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</si>
  <si>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</si>
  <si>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</si>
  <si>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</si>
  <si>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</si>
  <si>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</si>
  <si>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</si>
  <si>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</si>
  <si>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</si>
  <si>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</si>
  <si>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</si>
  <si>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</si>
  <si>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</si>
  <si>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</si>
  <si>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</si>
  <si>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</si>
  <si>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</si>
  <si>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</si>
  <si>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</si>
  <si>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</si>
  <si>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</si>
  <si>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</si>
  <si>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</si>
  <si>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</si>
  <si>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</si>
  <si>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</si>
  <si>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</si>
  <si>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</si>
  <si>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</si>
  <si>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</si>
  <si>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</si>
  <si>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</si>
  <si>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</si>
  <si>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</si>
  <si>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</si>
  <si>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</si>
  <si>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</si>
  <si>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</si>
  <si>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</si>
  <si>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</si>
  <si>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</si>
  <si>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</si>
  <si>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</si>
  <si>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</si>
  <si>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</si>
  <si>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</si>
  <si>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</si>
  <si>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</si>
  <si>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</si>
  <si>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</si>
  <si>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</si>
  <si>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</si>
  <si>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</si>
  <si>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</si>
  <si>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</si>
  <si>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</si>
  <si>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</si>
  <si>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</si>
  <si>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</si>
  <si>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</si>
  <si>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</si>
  <si>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</si>
  <si>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</si>
  <si>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</si>
  <si>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</si>
  <si>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</si>
  <si>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</si>
  <si>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</si>
  <si>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</si>
  <si>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</si>
  <si>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</si>
  <si>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</si>
  <si>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</si>
  <si>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</si>
  <si>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</si>
  <si>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</si>
  <si>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</si>
  <si>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</si>
  <si>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</si>
  <si>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</si>
  <si>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</si>
  <si>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</si>
  <si>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</si>
  <si>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</si>
  <si>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</si>
  <si>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</si>
  <si>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</si>
  <si>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</si>
  <si>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</si>
  <si>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</si>
  <si>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</si>
  <si>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</si>
  <si>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</si>
  <si>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</si>
  <si>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</si>
  <si>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</si>
  <si>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</si>
  <si>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</si>
  <si>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</si>
  <si>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</si>
  <si>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</si>
  <si>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</si>
  <si>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</si>
  <si>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</si>
  <si>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</si>
  <si>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</si>
  <si>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</si>
  <si>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</si>
  <si>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</si>
  <si>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</si>
  <si>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</si>
  <si>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</si>
  <si>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</si>
  <si>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</si>
  <si>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</si>
  <si>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</si>
  <si>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</si>
  <si>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</si>
  <si>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</si>
  <si>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</si>
  <si>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</si>
  <si>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</si>
  <si>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</si>
  <si>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</si>
  <si>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</si>
  <si>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</si>
  <si>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</si>
  <si>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</si>
  <si>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</si>
  <si>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</si>
  <si>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</si>
  <si>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</si>
  <si>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</si>
  <si>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</si>
  <si>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</si>
  <si>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</si>
  <si>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</si>
  <si>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</si>
  <si>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</si>
  <si>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</si>
  <si>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</si>
  <si>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</si>
  <si>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</si>
  <si>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</si>
  <si>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</si>
  <si>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</si>
  <si>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</si>
  <si>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</si>
  <si>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</si>
  <si>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</si>
  <si>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</si>
  <si>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</si>
  <si>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</si>
  <si>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</si>
  <si>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</si>
  <si>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</si>
  <si>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</si>
  <si>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</si>
  <si>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</si>
  <si>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</si>
  <si>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</si>
  <si>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</si>
  <si>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</si>
  <si>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</si>
  <si>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</si>
  <si>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</si>
  <si>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</si>
  <si>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</si>
  <si>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</si>
  <si>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</si>
  <si>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</si>
  <si>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</si>
  <si>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</si>
  <si>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</si>
  <si>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</si>
  <si>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</si>
  <si>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</si>
  <si>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</si>
  <si>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</si>
  <si>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</si>
  <si>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</si>
  <si>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</si>
  <si>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</si>
  <si>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</si>
  <si>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</si>
  <si>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</si>
  <si>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</si>
  <si>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</si>
  <si>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</si>
  <si>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</si>
  <si>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</si>
  <si>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</si>
  <si>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</si>
  <si>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</si>
  <si>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</si>
  <si>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</si>
  <si>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</si>
  <si>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</si>
  <si>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</si>
  <si>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</si>
  <si>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</si>
  <si>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</si>
  <si>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</si>
  <si>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</si>
  <si>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</si>
  <si>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</si>
  <si>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</si>
  <si>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</si>
  <si>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</si>
  <si>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</si>
  <si>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</si>
  <si>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</si>
  <si>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</si>
  <si>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</si>
  <si>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</si>
  <si>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</si>
  <si>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</si>
  <si>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</si>
  <si>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</si>
  <si>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</si>
  <si>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</si>
  <si>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</si>
  <si>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</si>
  <si>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</si>
  <si>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</si>
  <si>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</si>
  <si>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</si>
  <si>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</si>
  <si>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</si>
  <si>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</si>
  <si>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</si>
  <si>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</si>
  <si>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</si>
  <si>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</si>
  <si>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</si>
  <si>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</si>
  <si>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</si>
  <si>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</si>
  <si>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</si>
  <si>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</si>
  <si>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</si>
  <si>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</si>
  <si>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</si>
  <si>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</si>
  <si>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</si>
  <si>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</si>
  <si>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</si>
  <si>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</si>
  <si>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</si>
  <si>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</si>
  <si>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</si>
  <si>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</si>
  <si>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</si>
  <si>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</si>
  <si>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</si>
  <si>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</si>
  <si>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</si>
  <si>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</si>
  <si>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</si>
  <si>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</si>
  <si>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</si>
  <si>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</si>
  <si>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</si>
  <si>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</si>
  <si>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</si>
  <si>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</si>
  <si>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</si>
  <si>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</si>
  <si>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</si>
  <si>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</si>
  <si>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</si>
  <si>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</si>
  <si>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</si>
  <si>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</si>
  <si>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</si>
  <si>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</si>
  <si>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</si>
  <si>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</si>
  <si>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</si>
  <si>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</si>
  <si>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</si>
  <si>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</si>
  <si>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</si>
  <si>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</si>
  <si>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</si>
  <si>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</si>
  <si>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</si>
  <si>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</si>
  <si>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</si>
  <si>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</si>
  <si>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</si>
  <si>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</si>
  <si>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</si>
  <si>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</si>
  <si>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</si>
  <si>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</si>
  <si>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</si>
  <si>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</si>
  <si>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</si>
  <si>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</si>
  <si>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</si>
  <si>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</si>
  <si>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</si>
  <si>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</si>
  <si>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</si>
  <si>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</si>
  <si>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</si>
  <si>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</si>
  <si>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</si>
  <si>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</si>
  <si>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</si>
  <si>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</si>
  <si>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</si>
  <si>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</si>
  <si>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</si>
  <si>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</si>
  <si>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</si>
  <si>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</si>
  <si>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</si>
  <si>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</si>
  <si>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</si>
  <si>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</si>
  <si>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</si>
  <si>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</si>
  <si>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</si>
  <si>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</si>
  <si>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</si>
  <si>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</si>
  <si>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</si>
  <si>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</si>
  <si>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</si>
  <si>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</si>
  <si>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</si>
  <si>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</si>
  <si>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</si>
  <si>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</si>
  <si>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</si>
  <si>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</si>
  <si>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</si>
  <si>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</si>
  <si>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</si>
  <si>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</si>
  <si>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</si>
  <si>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</si>
  <si>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</si>
  <si>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</si>
  <si>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</si>
  <si>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</si>
  <si>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</si>
  <si>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</si>
  <si>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</si>
  <si>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</si>
  <si>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</si>
  <si>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</si>
  <si>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</si>
  <si>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</si>
  <si>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</si>
  <si>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</si>
  <si>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</si>
  <si>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</si>
  <si>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</si>
  <si>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</si>
  <si>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</si>
  <si>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</si>
  <si>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</si>
  <si>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</si>
  <si>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</si>
  <si>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</si>
  <si>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</si>
  <si>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</si>
  <si>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</si>
  <si>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</si>
  <si>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</si>
  <si>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</si>
  <si>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</si>
  <si>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</si>
  <si>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</si>
  <si>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</si>
  <si>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</si>
  <si>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</si>
  <si>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</si>
  <si>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</si>
  <si>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</si>
  <si>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</si>
  <si>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</si>
  <si>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</si>
  <si>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</si>
  <si>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</si>
  <si>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</si>
  <si>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</si>
  <si>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</si>
  <si>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</si>
  <si>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</si>
  <si>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</si>
  <si>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</si>
  <si>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</si>
  <si>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</si>
  <si>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</si>
  <si>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</si>
  <si>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</si>
  <si>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</si>
  <si>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</si>
  <si>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</si>
  <si>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</si>
  <si>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</si>
  <si>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</si>
  <si>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</si>
  <si>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</si>
  <si>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</si>
  <si>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</si>
  <si>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</si>
  <si>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</si>
  <si>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</si>
  <si>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</si>
  <si>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</si>
  <si>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</si>
  <si>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</si>
  <si>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</si>
  <si>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</si>
  <si>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</si>
  <si>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</si>
  <si>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</si>
  <si>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</si>
  <si>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</si>
  <si>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</si>
  <si>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</si>
  <si>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</si>
  <si>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</si>
  <si>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</si>
  <si>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</si>
  <si>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</si>
  <si>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</si>
  <si>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</si>
  <si>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</si>
  <si>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</si>
  <si>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</si>
  <si>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</si>
  <si>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</si>
  <si>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</si>
  <si>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</si>
  <si>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</si>
  <si>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</si>
  <si>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</si>
  <si>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</si>
  <si>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</si>
  <si>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</si>
  <si>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</si>
  <si>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</si>
  <si>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</si>
  <si>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</si>
  <si>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</si>
  <si>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</si>
  <si>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</si>
  <si>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</si>
  <si>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</si>
  <si>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</si>
  <si>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</si>
  <si>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</si>
  <si>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</si>
  <si>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</si>
  <si>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</si>
  <si>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</si>
  <si>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</si>
  <si>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</si>
  <si>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</si>
  <si>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</si>
  <si>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</si>
  <si>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</si>
  <si>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</si>
  <si>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</si>
  <si>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</si>
  <si>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</si>
  <si>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</si>
  <si>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</si>
  <si>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</si>
  <si>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</si>
  <si>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</si>
  <si>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</si>
  <si>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</si>
  <si>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</si>
  <si>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</si>
  <si>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</si>
  <si>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</si>
  <si>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</si>
  <si>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</si>
  <si>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</si>
  <si>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</si>
  <si>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</si>
  <si>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</si>
  <si>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</si>
  <si>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</si>
  <si>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</si>
  <si>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</si>
  <si>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</si>
  <si>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</si>
  <si>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</si>
  <si>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</si>
  <si>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</si>
  <si>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</si>
  <si>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</si>
  <si>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</si>
  <si>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</si>
  <si>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</si>
  <si>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</si>
  <si>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</si>
  <si>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</si>
  <si>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</si>
  <si>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</si>
  <si>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</si>
  <si>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</si>
  <si>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</si>
  <si>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</si>
  <si>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</si>
  <si>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</si>
  <si>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</si>
  <si>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</si>
  <si>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</si>
  <si>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</si>
  <si>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</si>
  <si>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</si>
  <si>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</si>
  <si>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</si>
  <si>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</si>
  <si>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</si>
  <si>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</si>
  <si>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</si>
  <si>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</si>
  <si>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</si>
  <si>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</si>
  <si>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</si>
  <si>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</si>
  <si>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</si>
  <si>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</si>
  <si>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</si>
  <si>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</si>
  <si>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</si>
  <si>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</si>
  <si>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</si>
  <si>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</si>
  <si>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</si>
  <si>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</si>
  <si>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</si>
  <si>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</si>
  <si>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</si>
  <si>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</si>
  <si>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</si>
  <si>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</si>
  <si>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</si>
  <si>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</si>
  <si>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</si>
  <si>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</si>
  <si>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</si>
  <si>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</si>
  <si>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</si>
  <si>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</si>
  <si>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</si>
  <si>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</si>
  <si>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</si>
  <si>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</si>
  <si>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</si>
  <si>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</si>
  <si>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</si>
  <si>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</si>
  <si>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</si>
  <si>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</si>
  <si>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</si>
  <si>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</si>
  <si>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</si>
  <si>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</si>
  <si>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</si>
  <si>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</si>
  <si>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</si>
  <si>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</si>
  <si>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</si>
  <si>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</si>
  <si>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</si>
  <si>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</si>
  <si>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</si>
  <si>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</si>
  <si>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</si>
  <si>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</si>
  <si>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</si>
  <si>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</si>
  <si>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</si>
  <si>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</si>
  <si>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</si>
  <si>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</si>
  <si>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</si>
  <si>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</si>
  <si>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</si>
  <si>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</si>
  <si>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</si>
  <si>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</si>
  <si>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</si>
  <si>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</si>
  <si>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</si>
  <si>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</si>
  <si>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</si>
  <si>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</si>
  <si>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</si>
  <si>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</si>
  <si>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</si>
  <si>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</si>
  <si>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</si>
  <si>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</si>
  <si>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</si>
  <si>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</si>
  <si>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</si>
  <si>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</si>
  <si>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</si>
  <si>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</si>
  <si>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</si>
  <si>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</si>
  <si>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</si>
  <si>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</si>
  <si>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</si>
  <si>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</si>
  <si>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</si>
  <si>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</si>
  <si>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</si>
  <si>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</si>
  <si>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</si>
  <si>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</si>
  <si>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</si>
  <si>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</si>
  <si>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</si>
  <si>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</si>
  <si>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</si>
  <si>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</si>
  <si>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</si>
  <si>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</si>
  <si>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</si>
  <si>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</si>
  <si>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</si>
  <si>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</si>
  <si>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</si>
  <si>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</si>
  <si>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</si>
  <si>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</si>
  <si>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</si>
  <si>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</si>
  <si>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</si>
  <si>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</si>
  <si>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</si>
  <si>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</si>
  <si>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</si>
  <si>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</si>
  <si>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</si>
  <si>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</si>
  <si>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</si>
  <si>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</si>
  <si>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</si>
  <si>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</si>
  <si>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</si>
  <si>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</si>
  <si>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</si>
  <si>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</si>
  <si>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</si>
  <si>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</si>
  <si>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</si>
  <si>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</si>
  <si>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</si>
  <si>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</si>
  <si>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</si>
  <si>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</si>
  <si>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</si>
  <si>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</si>
  <si>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</si>
  <si>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</si>
  <si>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</si>
  <si>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</si>
  <si>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</si>
  <si>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</si>
  <si>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</si>
  <si>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</si>
  <si>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</si>
  <si>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</si>
  <si>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</si>
  <si>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</si>
  <si>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</si>
  <si>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</si>
  <si>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</si>
  <si>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</si>
  <si>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</si>
  <si>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</si>
  <si>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</si>
  <si>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</si>
  <si>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</si>
  <si>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</si>
  <si>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</si>
  <si>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</si>
  <si>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</si>
  <si>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</si>
  <si>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</si>
  <si>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</si>
  <si>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</si>
  <si>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</si>
  <si>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</si>
  <si>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</si>
  <si>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</si>
  <si>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</si>
  <si>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</si>
  <si>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</si>
  <si>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</si>
  <si>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</si>
  <si>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</si>
  <si>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</si>
  <si>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</si>
  <si>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</si>
  <si>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</si>
  <si>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</si>
  <si>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</si>
  <si>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</si>
  <si>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</si>
  <si>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</si>
  <si>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</si>
  <si>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</si>
  <si>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</si>
  <si>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</si>
  <si>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</si>
  <si>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</si>
  <si>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</si>
  <si>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</si>
  <si>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</si>
  <si>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</si>
  <si>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</si>
  <si>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</si>
  <si>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</si>
  <si>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</si>
  <si>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</si>
  <si>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</si>
  <si>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</si>
  <si>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</si>
  <si>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</si>
  <si>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</si>
  <si>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</si>
  <si>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</si>
  <si>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</si>
  <si>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</si>
  <si>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</si>
  <si>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</si>
  <si>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</si>
  <si>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</si>
  <si>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</si>
  <si>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</si>
  <si>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</si>
  <si>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</si>
  <si>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</si>
  <si>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</si>
  <si>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</si>
  <si>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</si>
  <si>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</si>
  <si>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</si>
  <si>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</si>
  <si>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</si>
  <si>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</si>
  <si>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</si>
  <si>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</si>
  <si>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</si>
  <si>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</si>
  <si>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</si>
  <si>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</si>
  <si>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</si>
  <si>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</si>
  <si>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</si>
  <si>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</si>
  <si>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</si>
  <si>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</si>
  <si>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</si>
  <si>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</si>
  <si>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</si>
  <si>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</si>
  <si>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</si>
  <si>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</si>
  <si>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</si>
  <si>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</si>
  <si>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</si>
  <si>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</si>
  <si>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</si>
  <si>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</si>
  <si>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</si>
  <si>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</si>
  <si>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</si>
  <si>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</si>
  <si>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</si>
  <si>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</si>
  <si>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</si>
  <si>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</si>
  <si>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</si>
  <si>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</si>
  <si>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</si>
  <si>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</si>
  <si>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</si>
  <si>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</si>
  <si>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</si>
  <si>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</si>
  <si>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</si>
  <si>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</si>
  <si>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</si>
  <si>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</si>
  <si>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</si>
  <si>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</si>
  <si>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</si>
  <si>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</si>
  <si>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</si>
  <si>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</si>
  <si>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</si>
  <si>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</si>
  <si>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</si>
  <si>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</si>
  <si>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</si>
  <si>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</si>
  <si>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</si>
  <si>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</si>
  <si>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</si>
  <si>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</si>
  <si>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</si>
  <si>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</si>
  <si>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</si>
  <si>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</si>
  <si>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</si>
  <si>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</si>
  <si>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</si>
  <si>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</si>
  <si>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</si>
  <si>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</si>
  <si>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</si>
  <si>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</si>
  <si>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</si>
  <si>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</si>
  <si>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</si>
  <si>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</si>
  <si>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</si>
  <si>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</si>
  <si>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</si>
  <si>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</si>
  <si>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</si>
  <si>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</si>
  <si>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</si>
  <si>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</si>
  <si>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</si>
  <si>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</si>
  <si>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</si>
  <si>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</si>
  <si>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</si>
  <si>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</si>
  <si>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</si>
  <si>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</si>
  <si>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</si>
  <si>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</si>
  <si>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</si>
  <si>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</si>
  <si>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</si>
  <si>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</si>
  <si>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</si>
  <si>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</si>
  <si>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</si>
  <si>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</si>
  <si>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</si>
  <si>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</si>
  <si>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</si>
  <si>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</si>
  <si>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</si>
  <si>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</si>
  <si>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</si>
  <si>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</si>
  <si>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</si>
  <si>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</si>
  <si>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</si>
  <si>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</si>
  <si>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</si>
  <si>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</si>
  <si>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</si>
  <si>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</si>
  <si>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</si>
  <si>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</si>
  <si>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</si>
  <si>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</si>
  <si>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</si>
  <si>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</si>
  <si>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</si>
  <si>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</si>
  <si>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</si>
  <si>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</si>
  <si>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</si>
  <si>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</si>
  <si>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</si>
  <si>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</si>
  <si>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</si>
  <si>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</si>
  <si>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</si>
  <si>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</si>
  <si>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</si>
  <si>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</si>
  <si>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</si>
  <si>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</si>
  <si>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</si>
  <si>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</si>
  <si>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</si>
  <si>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</si>
  <si>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</si>
  <si>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</si>
  <si>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</si>
  <si>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</si>
  <si>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</si>
  <si>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</si>
  <si>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</si>
  <si>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</si>
  <si>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</si>
  <si>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</si>
  <si>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</si>
  <si>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</si>
  <si>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</si>
  <si>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</si>
  <si>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</si>
  <si>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</si>
  <si>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</si>
  <si>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</si>
  <si>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</si>
  <si>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</si>
  <si>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</si>
  <si>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</si>
  <si>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</si>
  <si>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</si>
  <si>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</si>
  <si>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</si>
  <si>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</si>
  <si>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</si>
  <si>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</si>
  <si>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</si>
  <si>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</si>
  <si>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</si>
  <si>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</si>
  <si>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</si>
  <si>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</si>
  <si>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</si>
  <si>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</si>
  <si>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</si>
  <si>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</si>
  <si>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</si>
  <si>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</si>
  <si>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</si>
  <si>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</si>
  <si>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</si>
  <si>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</si>
  <si>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</si>
  <si>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</si>
  <si>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</si>
  <si>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</si>
  <si>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</si>
  <si>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</si>
  <si>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</si>
  <si>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</si>
  <si>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</si>
  <si>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</si>
  <si>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</si>
  <si>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</si>
  <si>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</si>
  <si>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</si>
  <si>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</si>
  <si>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</si>
  <si>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</si>
  <si>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</si>
  <si>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</si>
  <si>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</si>
  <si>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</si>
  <si>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</si>
  <si>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</si>
  <si>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</si>
  <si>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</si>
  <si>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</si>
  <si>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</si>
  <si>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</si>
  <si>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</si>
  <si>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</si>
  <si>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</si>
  <si>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</si>
  <si>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</si>
  <si>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</si>
  <si>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</si>
  <si>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</si>
  <si>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</si>
  <si>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</si>
  <si>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</si>
  <si>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</si>
  <si>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</si>
  <si>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</si>
  <si>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</si>
  <si>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</si>
  <si>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</si>
  <si>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</si>
  <si>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</si>
  <si>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</si>
  <si>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</si>
  <si>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</si>
  <si>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</si>
  <si>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</si>
  <si>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</si>
  <si>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</si>
  <si>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</si>
  <si>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</si>
  <si>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</si>
  <si>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</si>
  <si>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</si>
  <si>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</si>
  <si>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</si>
  <si>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</si>
  <si>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</si>
  <si>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</si>
  <si>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</si>
  <si>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</si>
  <si>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</si>
  <si>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</si>
  <si>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</si>
  <si>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</si>
  <si>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</si>
  <si>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</si>
  <si>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</si>
  <si>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</si>
  <si>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</si>
  <si>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</si>
  <si>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</si>
  <si>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</si>
  <si>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</si>
  <si>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</si>
  <si>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</si>
  <si>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</si>
  <si>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</si>
  <si>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</si>
  <si>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</si>
  <si>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</si>
  <si>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</si>
  <si>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</si>
  <si>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</si>
  <si>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</si>
  <si>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</si>
  <si>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</si>
  <si>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</si>
  <si>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</si>
  <si>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</si>
  <si>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</si>
  <si>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</si>
  <si>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</si>
  <si>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</si>
  <si>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</si>
  <si>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</si>
  <si>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</si>
  <si>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</si>
  <si>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</si>
  <si>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</si>
  <si>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</si>
  <si>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</si>
  <si>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</si>
  <si>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</si>
  <si>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</si>
  <si>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</si>
  <si>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</si>
  <si>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</si>
  <si>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</si>
  <si>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</si>
  <si>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</si>
  <si>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</si>
  <si>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</si>
  <si>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</si>
  <si>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</si>
  <si>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</si>
  <si>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</si>
  <si>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</si>
  <si>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</si>
  <si>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</si>
  <si>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</si>
  <si>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</si>
  <si>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</si>
  <si>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</si>
  <si>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</si>
  <si>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</si>
  <si>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</si>
  <si>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</si>
  <si>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</si>
  <si>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</si>
  <si>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</si>
  <si>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</si>
  <si>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</si>
  <si>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</si>
  <si>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</si>
  <si>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</si>
  <si>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</si>
  <si>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</si>
  <si>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</si>
  <si>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</si>
  <si>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</si>
  <si>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</si>
  <si>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</si>
  <si>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</si>
  <si>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</si>
  <si>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</si>
  <si>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</si>
  <si>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</si>
  <si>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</si>
  <si>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</si>
  <si>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</si>
  <si>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</si>
  <si>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</si>
  <si>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</si>
  <si>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</si>
  <si>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</si>
  <si>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</si>
  <si>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</si>
  <si>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</si>
  <si>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</si>
  <si>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</si>
  <si>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</si>
  <si>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</si>
  <si>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</si>
  <si>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</si>
  <si>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</si>
  <si>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</si>
  <si>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</si>
  <si>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</si>
  <si>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</si>
  <si>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</si>
  <si>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</si>
  <si>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</si>
  <si>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</si>
  <si>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</si>
  <si>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</si>
  <si>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</si>
  <si>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</si>
  <si>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</si>
  <si>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</si>
  <si>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</si>
  <si>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</si>
  <si>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</si>
  <si>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</si>
  <si>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</si>
  <si>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</si>
  <si>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</si>
  <si>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</si>
  <si>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</si>
  <si>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</si>
  <si>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</si>
  <si>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</si>
  <si>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</si>
  <si>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</si>
  <si>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</si>
  <si>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</si>
  <si>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</si>
  <si>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</si>
  <si>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</si>
  <si>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</si>
  <si>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</si>
  <si>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</si>
  <si>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</si>
  <si>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</si>
  <si>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</si>
  <si>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</si>
  <si>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</si>
  <si>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</si>
  <si>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</si>
  <si>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</si>
  <si>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</si>
  <si>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</si>
  <si>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</si>
  <si>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</si>
  <si>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</si>
  <si>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</si>
  <si>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</si>
  <si>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</si>
  <si>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</si>
  <si>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</si>
  <si>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</si>
  <si>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</si>
  <si>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</si>
  <si>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</si>
  <si>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</si>
  <si>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</si>
  <si>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</si>
  <si>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</si>
  <si>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</si>
  <si>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</si>
  <si>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</si>
  <si>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</si>
  <si>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</si>
  <si>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</si>
  <si>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</si>
  <si>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</si>
  <si>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</si>
  <si>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</si>
  <si>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</si>
  <si>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</si>
  <si>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</si>
  <si>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</si>
  <si>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</si>
  <si>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</si>
  <si>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</si>
  <si>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</si>
  <si>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</si>
  <si>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</si>
  <si>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</si>
  <si>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</si>
  <si>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</si>
  <si>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</si>
  <si>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</si>
  <si>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</si>
  <si>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</si>
  <si>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</si>
  <si>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</si>
  <si>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</si>
  <si>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</si>
  <si>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</si>
  <si>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</si>
  <si>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</si>
  <si>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</si>
  <si>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</si>
  <si>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</si>
  <si>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</si>
  <si>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</si>
  <si>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</si>
  <si>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</si>
  <si>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</si>
  <si>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</si>
  <si>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</si>
  <si>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</si>
  <si>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</si>
  <si>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</si>
  <si>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</si>
  <si>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</si>
  <si>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</si>
  <si>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</si>
  <si>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</si>
  <si>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</si>
  <si>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</si>
  <si>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</si>
  <si>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</si>
  <si>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</si>
  <si>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</si>
  <si>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</si>
  <si>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</si>
  <si>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</si>
  <si>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</si>
  <si>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</si>
  <si>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</si>
  <si>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</si>
  <si>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</si>
  <si>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</si>
  <si>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</si>
  <si>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</si>
  <si>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</si>
  <si>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</si>
  <si>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</si>
  <si>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</si>
  <si>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</si>
  <si>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</si>
  <si>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</si>
  <si>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</si>
  <si>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</si>
  <si>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</si>
  <si>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</si>
  <si>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</si>
  <si>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</si>
  <si>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</si>
  <si>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</si>
  <si>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</si>
  <si>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</si>
  <si>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</si>
  <si>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</si>
  <si>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</si>
  <si>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</si>
  <si>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</si>
  <si>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</si>
  <si>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</si>
  <si>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</si>
  <si>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</si>
  <si>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</si>
  <si>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</si>
  <si>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</si>
  <si>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</si>
  <si>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</si>
  <si>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</si>
  <si>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</si>
  <si>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</si>
  <si>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</si>
  <si>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</si>
  <si>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</si>
  <si>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</si>
  <si>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</si>
  <si>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</si>
  <si>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</si>
  <si>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</si>
  <si>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</si>
  <si>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</si>
  <si>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</si>
  <si>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</si>
  <si>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</si>
  <si>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</si>
  <si>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</si>
  <si>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</si>
  <si>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</si>
  <si>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</si>
  <si>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</si>
  <si>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</si>
  <si>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</si>
  <si>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</si>
  <si>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</si>
  <si>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</si>
  <si>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</si>
  <si>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</si>
  <si>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</si>
  <si>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</si>
  <si>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</si>
  <si>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</si>
  <si>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</si>
  <si>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</si>
  <si>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</si>
  <si>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</si>
  <si>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</si>
  <si>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</si>
  <si>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</si>
  <si>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</si>
  <si>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</si>
  <si>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</si>
  <si>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</si>
  <si>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</si>
  <si>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</si>
  <si>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</si>
  <si>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</si>
  <si>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</si>
  <si>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</si>
  <si>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</si>
  <si>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</si>
  <si>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</si>
  <si>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</si>
  <si>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</si>
  <si>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</si>
  <si>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</si>
  <si>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</si>
  <si>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</si>
  <si>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</si>
  <si>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</si>
  <si>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</si>
  <si>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</si>
  <si>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</si>
  <si>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</si>
  <si>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</si>
  <si>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</si>
  <si>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</si>
  <si>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</si>
  <si>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</si>
  <si>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</si>
  <si>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</si>
  <si>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</si>
  <si>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</si>
  <si>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</si>
  <si>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</si>
  <si>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</si>
  <si>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</si>
  <si>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</si>
  <si>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</si>
  <si>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</si>
  <si>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</si>
  <si>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</si>
  <si>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</si>
  <si>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</si>
  <si>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</si>
  <si>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</si>
  <si>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</si>
  <si>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</si>
  <si>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</si>
  <si>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</si>
  <si>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</si>
  <si>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</si>
  <si>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</si>
  <si>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</si>
  <si>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</si>
  <si>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</si>
  <si>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</si>
  <si>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</si>
  <si>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</si>
  <si>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</si>
  <si>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</si>
  <si>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</si>
  <si>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</si>
  <si>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</si>
  <si>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</si>
  <si>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</si>
  <si>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</si>
  <si>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</si>
  <si>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</si>
  <si>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</si>
  <si>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</si>
  <si>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</si>
  <si>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</si>
  <si>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</si>
  <si>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</si>
  <si>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</si>
  <si>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</si>
  <si>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</si>
  <si>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</si>
  <si>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</si>
  <si>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</si>
  <si>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</si>
  <si>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</si>
  <si>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</si>
  <si>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</si>
  <si>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</si>
  <si>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</si>
  <si>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</si>
  <si>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</si>
  <si>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</si>
  <si>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</si>
  <si>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</si>
  <si>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</si>
  <si>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</si>
  <si>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</si>
  <si>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</si>
  <si>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</si>
  <si>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</si>
  <si>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</si>
  <si>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</si>
  <si>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</si>
  <si>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</si>
  <si>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</si>
  <si>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</si>
  <si>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</si>
  <si>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</si>
  <si>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</si>
  <si>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</si>
  <si>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</si>
  <si>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</si>
  <si>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</si>
  <si>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</si>
  <si>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</si>
  <si>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</si>
  <si>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</si>
  <si>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</si>
  <si>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</si>
  <si>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</si>
  <si>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</si>
  <si>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</si>
  <si>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</si>
  <si>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</si>
  <si>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</si>
  <si>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</si>
  <si>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</si>
  <si>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</si>
  <si>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</si>
  <si>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</si>
  <si>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</si>
  <si>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</si>
  <si>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</si>
  <si>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</si>
  <si>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</si>
  <si>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</si>
  <si>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</si>
  <si>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</si>
  <si>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</si>
  <si>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</si>
  <si>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</si>
  <si>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</si>
  <si>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</si>
  <si>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</si>
  <si>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</si>
  <si>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</si>
  <si>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</si>
  <si>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</si>
  <si>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</si>
  <si>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</si>
  <si>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</si>
  <si>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</si>
  <si>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</si>
  <si>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</si>
  <si>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</si>
  <si>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</si>
  <si>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</si>
  <si>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</si>
  <si>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</si>
  <si>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</si>
  <si>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</si>
  <si>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</si>
  <si>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</si>
  <si>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</si>
  <si>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</si>
  <si>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</si>
  <si>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</si>
  <si>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</si>
  <si>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</si>
  <si>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</si>
  <si>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</si>
  <si>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</si>
  <si>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</si>
  <si>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</si>
  <si>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</si>
  <si>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</si>
  <si>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</si>
  <si>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</si>
  <si>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</si>
  <si>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</si>
  <si>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</si>
  <si>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</si>
  <si>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</si>
  <si>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</si>
  <si>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</si>
  <si>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</si>
  <si>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</si>
  <si>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</si>
  <si>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</si>
  <si>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</si>
  <si>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</si>
  <si>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</si>
  <si>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</si>
  <si>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</si>
  <si>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</si>
  <si>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</si>
  <si>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</si>
  <si>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</si>
  <si>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</si>
  <si>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</si>
  <si>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</si>
  <si>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</si>
  <si>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</si>
  <si>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</si>
  <si>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</si>
  <si>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</si>
  <si>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</si>
  <si>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</si>
  <si>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</si>
  <si>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</si>
  <si>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</si>
  <si>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</si>
  <si>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</si>
  <si>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</si>
  <si>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</si>
  <si>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</si>
  <si>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</si>
  <si>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</si>
  <si>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</si>
  <si>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</si>
  <si>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</si>
  <si>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</si>
  <si>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</si>
  <si>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</si>
  <si>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</si>
  <si>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</si>
  <si>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</si>
  <si>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</si>
  <si>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</si>
  <si>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</si>
  <si>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</si>
  <si>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</si>
  <si>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</si>
  <si>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</si>
  <si>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</si>
  <si>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</si>
  <si>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</si>
  <si>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</si>
  <si>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</si>
  <si>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</si>
  <si>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</si>
  <si>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</si>
  <si>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</si>
  <si>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</si>
  <si>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</si>
  <si>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</si>
  <si>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</si>
  <si>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</si>
  <si>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</si>
  <si>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</si>
  <si>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</si>
  <si>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</si>
  <si>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</si>
  <si>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</si>
  <si>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</si>
  <si>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</si>
  <si>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</si>
  <si>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</si>
  <si>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</si>
  <si>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</si>
  <si>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</si>
  <si>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</si>
  <si>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</si>
  <si>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</si>
  <si>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</si>
  <si>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</si>
  <si>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</si>
  <si>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</si>
  <si>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</si>
  <si>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</si>
  <si>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</si>
  <si>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</si>
  <si>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</si>
  <si>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</si>
  <si>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</si>
  <si>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</si>
  <si>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</si>
  <si>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</si>
  <si>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</si>
  <si>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</si>
  <si>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</si>
  <si>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</si>
  <si>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</si>
  <si>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</si>
  <si>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</si>
  <si>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</si>
  <si>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</si>
  <si>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</si>
  <si>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</si>
  <si>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</si>
  <si>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</si>
  <si>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</si>
  <si>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</si>
  <si>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</si>
  <si>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</si>
  <si>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</si>
  <si>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</si>
  <si>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</si>
  <si>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</si>
  <si>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</si>
  <si>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</si>
  <si>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</si>
  <si>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</si>
  <si>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</si>
  <si>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</si>
  <si>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</si>
  <si>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</si>
  <si>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</si>
  <si>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</si>
  <si>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</si>
  <si>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</si>
  <si>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</si>
  <si>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</si>
  <si>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</si>
  <si>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</si>
  <si>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</si>
  <si>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</si>
  <si>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</si>
  <si>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</si>
  <si>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</si>
  <si>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</si>
  <si>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</si>
  <si>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</si>
  <si>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</si>
  <si>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</si>
  <si>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</si>
  <si>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</si>
  <si>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</si>
  <si>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</si>
  <si>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</si>
  <si>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</si>
  <si>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</si>
  <si>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</si>
  <si>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</si>
  <si>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</si>
  <si>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</si>
  <si>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</si>
  <si>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</si>
  <si>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</si>
  <si>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</si>
  <si>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</si>
  <si>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</si>
  <si>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</si>
  <si>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</si>
  <si>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</si>
  <si>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</si>
  <si>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</si>
  <si>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</si>
  <si>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</si>
  <si>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</si>
  <si>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</si>
  <si>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</si>
  <si>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</si>
  <si>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</si>
  <si>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</si>
  <si>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</si>
  <si>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</si>
  <si>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</si>
  <si>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</si>
  <si>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</si>
  <si>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</si>
  <si>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</si>
  <si>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</si>
  <si>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</si>
  <si>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</si>
  <si>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</si>
  <si>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</si>
  <si>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</si>
  <si>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</si>
  <si>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</si>
  <si>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</si>
  <si>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</si>
  <si>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</si>
  <si>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</si>
  <si>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</si>
  <si>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</si>
  <si>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</si>
  <si>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</si>
  <si>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</si>
  <si>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</si>
  <si>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</si>
  <si>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</si>
  <si>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</si>
  <si>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</si>
  <si>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</si>
  <si>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</si>
  <si>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</si>
  <si>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</si>
  <si>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</si>
  <si>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</si>
  <si>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</si>
  <si>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</si>
  <si>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</si>
  <si>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</si>
  <si>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</si>
  <si>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</si>
  <si>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</si>
  <si>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</si>
  <si>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</si>
  <si>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</si>
  <si>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</si>
  <si>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</si>
  <si>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</si>
  <si>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</si>
  <si>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</si>
  <si>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</si>
  <si>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</si>
  <si>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</si>
  <si>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</si>
  <si>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</si>
  <si>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</si>
  <si>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</si>
  <si>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</si>
  <si>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</si>
  <si>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</si>
  <si>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</si>
  <si>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</si>
  <si>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</si>
  <si>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</si>
  <si>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</si>
  <si>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</si>
  <si>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</si>
  <si>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</si>
  <si>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</si>
  <si>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</si>
  <si>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</si>
  <si>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</si>
  <si>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</si>
  <si>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</si>
  <si>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</si>
  <si>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</si>
  <si>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</si>
  <si>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</si>
  <si>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</si>
  <si>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</si>
  <si>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</si>
  <si>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</si>
  <si>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</si>
  <si>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</si>
  <si>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</si>
  <si>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</si>
  <si>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</si>
  <si>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</si>
  <si>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</si>
  <si>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</si>
  <si>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</si>
  <si>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</si>
  <si>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</si>
  <si>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</si>
  <si>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</si>
  <si>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</si>
  <si>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</si>
  <si>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</si>
  <si>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</si>
  <si>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</si>
  <si>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</si>
  <si>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</si>
  <si>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</si>
  <si>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</si>
  <si>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</si>
  <si>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</si>
  <si>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</si>
  <si>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</si>
  <si>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</si>
  <si>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</si>
  <si>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</si>
  <si>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</si>
  <si>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</si>
  <si>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</si>
  <si>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</si>
  <si>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</si>
  <si>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</si>
  <si>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</si>
  <si>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</si>
  <si>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</si>
  <si>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</si>
  <si>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</si>
  <si>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</si>
  <si>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</si>
  <si>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</si>
  <si>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</si>
  <si>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</si>
  <si>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</si>
  <si>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</si>
  <si>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</si>
  <si>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</si>
  <si>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</si>
  <si>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</si>
  <si>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</si>
  <si>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</si>
  <si>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</si>
  <si>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</si>
  <si>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</si>
  <si>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</si>
  <si>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</si>
  <si>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</si>
  <si>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</si>
  <si>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</si>
  <si>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</si>
  <si>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</si>
  <si>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</si>
  <si>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</si>
  <si>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</si>
  <si>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</si>
  <si>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</si>
  <si>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</si>
  <si>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</si>
  <si>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</si>
  <si>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</si>
  <si>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</si>
  <si>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</si>
  <si>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</si>
  <si>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</si>
  <si>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</si>
  <si>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</si>
  <si>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</si>
  <si>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</si>
  <si>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</si>
  <si>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</si>
  <si>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</si>
  <si>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</si>
  <si>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</si>
  <si>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</si>
  <si>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</si>
  <si>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</si>
  <si>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</si>
  <si>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</si>
  <si>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</si>
  <si>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</si>
  <si>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</si>
  <si>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</si>
  <si>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</si>
  <si>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</si>
  <si>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</si>
  <si>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</si>
  <si>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</si>
  <si>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</si>
  <si>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</si>
  <si>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</si>
  <si>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</si>
  <si>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</si>
  <si>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</si>
  <si>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</si>
  <si>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</si>
  <si>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</si>
  <si>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</si>
  <si>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</si>
  <si>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</si>
  <si>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</si>
  <si>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</si>
  <si>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</si>
  <si>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</si>
  <si>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</si>
  <si>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</si>
  <si>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</si>
  <si>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</si>
  <si>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</si>
  <si>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</si>
  <si>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</si>
  <si>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</si>
  <si>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</si>
  <si>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</si>
  <si>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</si>
  <si>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</si>
  <si>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</si>
  <si>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</si>
  <si>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</si>
  <si>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</si>
  <si>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</si>
  <si>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</si>
  <si>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</si>
  <si>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</si>
  <si>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</si>
  <si>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</si>
  <si>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</si>
  <si>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</si>
  <si>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</si>
  <si>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</si>
  <si>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</si>
  <si>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</si>
  <si>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</si>
  <si>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</si>
  <si>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</si>
  <si>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</si>
  <si>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</si>
  <si>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</si>
  <si>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</si>
  <si>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</si>
  <si>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</si>
  <si>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</si>
  <si>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</si>
  <si>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</si>
  <si>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</si>
  <si>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</si>
  <si>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</si>
  <si>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</si>
  <si>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</si>
  <si>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</si>
  <si>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</si>
  <si>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</si>
  <si>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</si>
  <si>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</si>
  <si>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</si>
  <si>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</si>
  <si>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</si>
  <si>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</si>
  <si>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</si>
  <si>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</si>
  <si>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</si>
  <si>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</si>
  <si>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</si>
  <si>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</si>
  <si>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</si>
  <si>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</si>
  <si>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</si>
  <si>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</si>
  <si>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</si>
  <si>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</si>
  <si>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</si>
  <si>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</si>
  <si>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</si>
  <si>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</si>
  <si>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</si>
  <si>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</si>
  <si>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</si>
  <si>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</si>
  <si>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</si>
  <si>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</si>
  <si>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</si>
  <si>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</si>
  <si>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</si>
  <si>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</si>
  <si>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</si>
  <si>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</si>
  <si>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</si>
  <si>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</si>
  <si>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</si>
  <si>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</si>
  <si>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</si>
  <si>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</si>
  <si>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</si>
  <si>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</si>
  <si>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</si>
  <si>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</si>
  <si>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</si>
  <si>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</si>
  <si>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</si>
  <si>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</si>
  <si>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</si>
  <si>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</si>
  <si>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</si>
  <si>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</si>
  <si>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</si>
  <si>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</si>
  <si>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</si>
  <si>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</si>
  <si>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</si>
  <si>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</si>
  <si>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</si>
  <si>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</si>
  <si>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</si>
  <si>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</si>
  <si>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</si>
  <si>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</si>
  <si>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</si>
  <si>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</si>
  <si>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</si>
  <si>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</si>
  <si>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</si>
  <si>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</si>
  <si>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</si>
  <si>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</si>
  <si>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</si>
  <si>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</si>
  <si>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</si>
  <si>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</si>
  <si>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</si>
  <si>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</si>
  <si>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</si>
  <si>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</si>
  <si>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</si>
  <si>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</si>
  <si>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</si>
  <si>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</si>
  <si>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</si>
  <si>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</si>
  <si>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</si>
  <si>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</si>
  <si>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</si>
  <si>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</si>
  <si>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</si>
  <si>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</si>
  <si>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</si>
  <si>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</si>
  <si>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</si>
  <si>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</si>
  <si>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</si>
  <si>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</si>
  <si>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</si>
  <si>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</si>
  <si>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</si>
  <si>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</si>
  <si>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</si>
  <si>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</si>
  <si>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</si>
  <si>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</si>
  <si>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</si>
  <si>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</si>
  <si>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</si>
  <si>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</si>
  <si>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</si>
  <si>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</si>
  <si>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</si>
  <si>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</si>
  <si>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</si>
  <si>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</si>
  <si>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</si>
  <si>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</si>
  <si>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</si>
  <si>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</si>
  <si>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</si>
  <si>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</si>
  <si>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</si>
  <si>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</si>
  <si>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</si>
  <si>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</si>
  <si>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</si>
  <si>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</si>
  <si>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</si>
  <si>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</si>
  <si>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</si>
  <si>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</si>
  <si>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</si>
  <si>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</si>
  <si>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</si>
  <si>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</si>
  <si>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</si>
  <si>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</si>
  <si>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</si>
  <si>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</si>
  <si>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</si>
  <si>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</si>
  <si>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</si>
  <si>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</si>
  <si>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</si>
  <si>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</si>
  <si>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</si>
  <si>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</si>
  <si>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</si>
  <si>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</si>
  <si>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</si>
  <si>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</si>
  <si>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</si>
  <si>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</si>
  <si>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</si>
  <si>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</si>
  <si>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</si>
  <si>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</si>
  <si>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</si>
  <si>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</si>
  <si>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</si>
  <si>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</si>
  <si>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</si>
  <si>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</si>
  <si>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</si>
  <si>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</si>
  <si>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</si>
  <si>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</si>
  <si>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</si>
  <si>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</si>
  <si>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</si>
  <si>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</si>
  <si>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</si>
  <si>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</si>
  <si>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</si>
  <si>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</si>
  <si>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</si>
  <si>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</si>
  <si>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</si>
  <si>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</si>
  <si>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</si>
  <si>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</si>
  <si>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</si>
  <si>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</si>
  <si>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</si>
  <si>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</si>
  <si>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</si>
  <si>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</si>
  <si>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</si>
  <si>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</si>
  <si>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</si>
  <si>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</si>
  <si>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</si>
  <si>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</si>
  <si>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</si>
  <si>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</si>
  <si>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</si>
  <si>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</si>
  <si>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</si>
  <si>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</si>
  <si>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</si>
  <si>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</si>
  <si>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</si>
  <si>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</si>
  <si>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</si>
  <si>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</si>
  <si>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</si>
  <si>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</si>
  <si>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</si>
  <si>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</si>
  <si>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</si>
  <si>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</si>
  <si>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</si>
  <si>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</si>
  <si>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</si>
  <si>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</si>
  <si>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</si>
  <si>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</si>
  <si>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</si>
  <si>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</si>
  <si>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</si>
  <si>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</si>
  <si>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</si>
  <si>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</si>
  <si>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</si>
  <si>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</si>
  <si>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</si>
  <si>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</si>
  <si>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</si>
  <si>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</si>
  <si>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</si>
  <si>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</si>
  <si>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</si>
  <si>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</si>
  <si>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</si>
  <si>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</si>
  <si>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</si>
  <si>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</si>
  <si>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</si>
  <si>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</si>
  <si>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</si>
  <si>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</si>
  <si>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</si>
  <si>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</si>
  <si>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</si>
  <si>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</si>
  <si>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</si>
  <si>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</si>
  <si>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</si>
  <si>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</si>
  <si>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</si>
  <si>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</si>
  <si>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</si>
  <si>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</si>
  <si>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</si>
  <si>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</si>
  <si>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</si>
  <si>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</si>
  <si>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</si>
  <si>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</si>
  <si>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</si>
  <si>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</si>
  <si>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</si>
  <si>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</si>
  <si>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</si>
  <si>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</si>
  <si>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</si>
  <si>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</si>
  <si>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</si>
  <si>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</si>
  <si>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</si>
  <si>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</si>
  <si>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</si>
  <si>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</si>
  <si>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</si>
  <si>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</si>
  <si>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</si>
  <si>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</si>
  <si>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</si>
  <si>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</si>
  <si>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</si>
  <si>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</si>
  <si>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</si>
  <si>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</si>
  <si>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</si>
  <si>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</si>
  <si>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</si>
  <si>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</si>
  <si>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</si>
  <si>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</si>
  <si>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</si>
  <si>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</si>
  <si>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</si>
  <si>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</si>
  <si>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</si>
  <si>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</si>
  <si>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</si>
  <si>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</si>
  <si>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</si>
  <si>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</si>
  <si>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</si>
  <si>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</si>
  <si>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</si>
  <si>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</si>
  <si>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</si>
  <si>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</si>
  <si>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</si>
  <si>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</si>
  <si>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</si>
  <si>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</si>
  <si>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</si>
  <si>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</si>
  <si>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</si>
  <si>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</si>
  <si>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</si>
  <si>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</si>
  <si>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</si>
  <si>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</si>
  <si>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</si>
  <si>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</si>
  <si>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</si>
  <si>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</si>
  <si>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</si>
  <si>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</si>
  <si>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</si>
  <si>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</si>
  <si>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</si>
  <si>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</si>
  <si>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</si>
  <si>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</si>
  <si>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</si>
  <si>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</si>
  <si>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</si>
  <si>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</si>
  <si>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</si>
  <si>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</si>
  <si>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</si>
  <si>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</si>
  <si>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</si>
  <si>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</si>
  <si>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</si>
  <si>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</si>
  <si>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</si>
  <si>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</si>
  <si>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</si>
  <si>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</si>
  <si>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</si>
  <si>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</si>
  <si>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</si>
  <si>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</si>
  <si>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</si>
  <si>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</si>
  <si>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</si>
  <si>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</si>
  <si>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</si>
  <si>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</si>
  <si>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</si>
  <si>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</si>
  <si>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</si>
  <si>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</si>
  <si>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</si>
  <si>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</si>
  <si>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</si>
  <si>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</si>
  <si>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</si>
  <si>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</si>
  <si>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</si>
  <si>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</si>
  <si>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</si>
  <si>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</si>
  <si>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</si>
  <si>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</si>
  <si>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</si>
  <si>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</si>
  <si>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</si>
  <si>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</si>
  <si>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</si>
  <si>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</si>
  <si>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</si>
  <si>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</si>
  <si>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</si>
  <si>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</si>
  <si>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</si>
  <si>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</si>
  <si>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</si>
  <si>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</si>
  <si>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</si>
  <si>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</si>
  <si>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</si>
  <si>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</si>
  <si>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</si>
  <si>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</si>
  <si>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</si>
  <si>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</si>
  <si>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</si>
  <si>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</si>
  <si>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</si>
  <si>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</si>
  <si>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</si>
  <si>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</si>
  <si>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</si>
  <si>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</si>
  <si>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</si>
  <si>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</si>
  <si>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</si>
  <si>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</si>
  <si>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</si>
  <si>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</si>
  <si>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</si>
  <si>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</si>
  <si>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</si>
  <si>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</si>
  <si>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</si>
  <si>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</si>
  <si>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</si>
  <si>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</si>
  <si>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</si>
  <si>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</si>
  <si>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</si>
  <si>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</si>
  <si>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</si>
  <si>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</si>
  <si>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</si>
  <si>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</si>
  <si>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</si>
  <si>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</si>
  <si>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</si>
  <si>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</si>
  <si>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</si>
  <si>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</si>
  <si>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</si>
  <si>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</si>
  <si>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</si>
  <si>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</si>
  <si>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</si>
  <si>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</si>
  <si>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</si>
  <si>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</si>
  <si>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</si>
  <si>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</si>
  <si>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</si>
  <si>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</si>
  <si>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</si>
  <si>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</si>
  <si>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</si>
  <si>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</si>
  <si>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</si>
  <si>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</si>
  <si>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</si>
  <si>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</si>
  <si>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</si>
  <si>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</si>
  <si>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</si>
  <si>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</si>
  <si>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</si>
  <si>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</si>
  <si>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</si>
  <si>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</si>
  <si>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</si>
  <si>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</si>
  <si>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</si>
  <si>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</si>
  <si>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</si>
  <si>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</si>
  <si>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</si>
  <si>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</si>
  <si>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</si>
  <si>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</si>
  <si>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</si>
  <si>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</si>
  <si>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</si>
  <si>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</si>
  <si>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</si>
  <si>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</si>
  <si>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</si>
  <si>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</si>
  <si>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</si>
  <si>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</si>
  <si>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</si>
  <si>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</si>
  <si>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</si>
  <si>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</si>
  <si>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</si>
  <si>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</si>
  <si>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</si>
  <si>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</si>
  <si>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</si>
  <si>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</si>
  <si>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</si>
  <si>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</si>
  <si>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</si>
  <si>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</si>
  <si>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</si>
  <si>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</si>
  <si>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</si>
  <si>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</si>
  <si>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</si>
  <si>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</si>
  <si>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</si>
  <si>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</si>
  <si>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</si>
  <si>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</si>
  <si>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</si>
  <si>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</si>
  <si>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</si>
  <si>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</si>
  <si>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</si>
  <si>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</si>
  <si>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</si>
  <si>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</si>
  <si>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</si>
  <si>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</si>
  <si>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</si>
  <si>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</si>
  <si>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</si>
  <si>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</si>
  <si>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</si>
  <si>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</si>
  <si>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</si>
  <si>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</si>
  <si>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</si>
  <si>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</si>
  <si>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</si>
  <si>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</si>
  <si>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</si>
  <si>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</si>
  <si>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</si>
  <si>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</si>
  <si>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</si>
  <si>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</si>
  <si>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</si>
  <si>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</si>
  <si>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</si>
  <si>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</si>
  <si>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</si>
  <si>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</si>
  <si>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</si>
  <si>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</si>
  <si>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</si>
  <si>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</si>
  <si>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</si>
  <si>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</si>
  <si>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</si>
  <si>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</si>
  <si>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</si>
  <si>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</si>
  <si>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</si>
  <si>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</si>
  <si>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</si>
  <si>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</si>
  <si>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</si>
  <si>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</si>
  <si>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</si>
  <si>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</si>
  <si>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</si>
  <si>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</si>
  <si>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</si>
  <si>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</si>
  <si>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</si>
  <si>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</si>
  <si>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</si>
  <si>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</si>
  <si>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</si>
  <si>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</si>
  <si>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</si>
  <si>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</si>
  <si>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</si>
  <si>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</si>
  <si>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</si>
  <si>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</si>
  <si>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</si>
  <si>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</si>
  <si>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</si>
  <si>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</si>
  <si>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</si>
  <si>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</si>
  <si>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</si>
  <si>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</si>
  <si>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</si>
  <si>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</si>
  <si>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</si>
  <si>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</si>
  <si>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</si>
  <si>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</si>
  <si>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</si>
  <si>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</si>
  <si>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</si>
  <si>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</si>
  <si>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</si>
  <si>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</si>
  <si>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</si>
  <si>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</si>
  <si>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</si>
  <si>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</si>
  <si>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</si>
  <si>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</si>
  <si>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</si>
  <si>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</si>
  <si>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</si>
  <si>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</si>
  <si>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</si>
  <si>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</si>
  <si>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</si>
  <si>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</si>
  <si>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</si>
  <si>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</si>
  <si>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</si>
  <si>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</si>
  <si>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</si>
  <si>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</si>
  <si>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</si>
  <si>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</si>
  <si>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</si>
  <si>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</si>
  <si>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</si>
  <si>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</si>
  <si>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</si>
  <si>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</si>
  <si>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</si>
  <si>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</si>
  <si>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</si>
  <si>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</si>
  <si>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</si>
  <si>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</si>
  <si>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</si>
  <si>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</si>
  <si>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</si>
  <si>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</si>
  <si>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</si>
  <si>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</si>
  <si>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</si>
  <si>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</si>
  <si>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</si>
  <si>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</si>
  <si>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</si>
  <si>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</si>
  <si>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</si>
  <si>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</si>
  <si>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</si>
  <si>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</si>
  <si>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</si>
  <si>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</si>
  <si>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</si>
  <si>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</si>
  <si>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</si>
  <si>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</si>
  <si>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</si>
  <si>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</si>
  <si>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</si>
  <si>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</si>
  <si>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</si>
  <si>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</si>
  <si>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</si>
  <si>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</si>
  <si>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</si>
  <si>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</si>
  <si>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</si>
  <si>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</si>
  <si>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</si>
  <si>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</si>
  <si>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</si>
  <si>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</si>
  <si>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</si>
  <si>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</si>
  <si>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</si>
  <si>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</si>
  <si>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</si>
  <si>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</si>
  <si>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</si>
  <si>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</si>
  <si>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</si>
  <si>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</si>
  <si>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</si>
  <si>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</si>
  <si>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</si>
  <si>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</si>
  <si>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</si>
  <si>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</si>
  <si>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</si>
  <si>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</si>
  <si>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</si>
  <si>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</si>
  <si>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</si>
  <si>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</si>
  <si>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</si>
  <si>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</si>
  <si>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</si>
  <si>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</si>
  <si>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</si>
  <si>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</si>
  <si>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</si>
  <si>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</si>
  <si>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</si>
  <si>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</si>
  <si>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</si>
  <si>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</si>
  <si>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</si>
  <si>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</si>
  <si>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</si>
  <si>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</si>
  <si>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</si>
  <si>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</si>
  <si>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</si>
  <si>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</si>
  <si>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</si>
  <si>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</si>
  <si>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</si>
  <si>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</si>
  <si>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</si>
  <si>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</si>
  <si>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</si>
  <si>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</si>
  <si>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</si>
  <si>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</si>
  <si>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</si>
  <si>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</si>
  <si>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</si>
  <si>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</si>
  <si>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</si>
  <si>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</si>
  <si>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</si>
  <si>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</si>
  <si>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</si>
  <si>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</si>
  <si>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</si>
  <si>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</si>
  <si>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</si>
  <si>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</si>
  <si>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</si>
  <si>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</si>
  <si>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</si>
  <si>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</si>
  <si>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</si>
  <si>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</si>
  <si>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</si>
  <si>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</si>
  <si>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</si>
  <si>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</si>
  <si>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</si>
  <si>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</si>
  <si>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</si>
  <si>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</si>
  <si>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</si>
  <si>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</si>
  <si>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</si>
  <si>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</si>
  <si>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</si>
  <si>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</si>
  <si>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</si>
  <si>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</si>
  <si>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</si>
  <si>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</si>
  <si>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</si>
  <si>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</si>
  <si>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</si>
  <si>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</si>
  <si>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</si>
  <si>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</si>
  <si>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</si>
  <si>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</si>
  <si>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</si>
  <si>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</si>
  <si>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</si>
  <si>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</si>
  <si>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</si>
  <si>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</si>
  <si>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</si>
  <si>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</si>
  <si>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</si>
  <si>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</si>
  <si>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</si>
  <si>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</si>
  <si>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</si>
  <si>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</si>
  <si>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</si>
  <si>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</si>
  <si>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</si>
  <si>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</si>
  <si>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</si>
  <si>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</si>
  <si>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</si>
  <si>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</si>
  <si>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</si>
  <si>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</si>
  <si>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</si>
  <si>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</si>
  <si>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</si>
  <si>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</si>
  <si>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</si>
  <si>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</si>
  <si>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</si>
  <si>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</si>
  <si>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</si>
  <si>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</si>
  <si>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</si>
  <si>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</si>
  <si>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</si>
  <si>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</si>
  <si>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</si>
  <si>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</si>
  <si>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</si>
  <si>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</si>
  <si>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</si>
  <si>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</si>
  <si>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</si>
  <si>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</si>
  <si>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</si>
  <si>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</si>
  <si>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</si>
  <si>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</si>
  <si>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</si>
  <si>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</si>
  <si>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</si>
  <si>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</si>
  <si>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</si>
  <si>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</si>
  <si>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</si>
  <si>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</si>
  <si>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</si>
  <si>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</si>
  <si>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</si>
  <si>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</si>
  <si>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</si>
  <si>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</si>
  <si>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</si>
  <si>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</si>
  <si>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</si>
  <si>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</si>
  <si>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</si>
  <si>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</si>
  <si>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</si>
  <si>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</si>
  <si>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</si>
  <si>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</si>
  <si>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</si>
  <si>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</si>
  <si>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</si>
  <si>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</si>
  <si>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</si>
  <si>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</si>
  <si>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</si>
  <si>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</si>
  <si>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</si>
  <si>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</si>
  <si>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</si>
  <si>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</si>
  <si>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</si>
  <si>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</si>
  <si>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</si>
  <si>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</si>
  <si>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</si>
  <si>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</si>
  <si>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</si>
  <si>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</si>
  <si>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</si>
  <si>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</si>
  <si>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</si>
  <si>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</si>
  <si>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</si>
  <si>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</si>
  <si>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</si>
  <si>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</si>
  <si>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</si>
  <si>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</si>
  <si>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</si>
  <si>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</si>
  <si>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</si>
  <si>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</si>
  <si>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</si>
  <si>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</si>
  <si>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</si>
  <si>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</si>
  <si>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</si>
  <si>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</si>
  <si>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</si>
  <si>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</si>
  <si>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</si>
  <si>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</si>
  <si>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</si>
  <si>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</si>
  <si>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</si>
  <si>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</si>
  <si>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</si>
  <si>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</si>
  <si>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</si>
  <si>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</si>
  <si>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</si>
  <si>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</si>
  <si>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</si>
  <si>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</si>
  <si>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</si>
  <si>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</si>
  <si>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</si>
  <si>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</si>
  <si>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</si>
  <si>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</si>
  <si>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</si>
  <si>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</si>
  <si>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</si>
  <si>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</si>
  <si>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</si>
  <si>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</si>
  <si>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</si>
  <si>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</si>
  <si>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</si>
  <si>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</si>
  <si>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</si>
  <si>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</si>
  <si>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</si>
  <si>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</si>
  <si>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</si>
  <si>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</si>
  <si>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</si>
  <si>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</si>
  <si>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</si>
  <si>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</si>
  <si>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</si>
  <si>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</si>
  <si>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</si>
  <si>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</si>
  <si>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</si>
  <si>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</si>
  <si>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</si>
  <si>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</si>
  <si>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</si>
  <si>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</si>
  <si>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</si>
  <si>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</si>
  <si>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</si>
  <si>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</si>
  <si>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</si>
  <si>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</si>
  <si>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</si>
  <si>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</si>
  <si>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</si>
  <si>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</si>
  <si>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</si>
  <si>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</si>
  <si>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</si>
  <si>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</si>
  <si>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</si>
  <si>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</si>
  <si>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</si>
  <si>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</si>
  <si>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</si>
  <si>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</si>
  <si>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</si>
  <si>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</si>
  <si>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</si>
  <si>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</si>
  <si>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</si>
  <si>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</si>
  <si>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</si>
  <si>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</si>
  <si>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</si>
  <si>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</si>
  <si>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</si>
  <si>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</si>
  <si>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</si>
  <si>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</si>
  <si>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</si>
  <si>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</si>
  <si>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</si>
  <si>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</si>
  <si>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</si>
  <si>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</si>
  <si>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</si>
  <si>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</si>
  <si>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</si>
  <si>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</si>
  <si>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</si>
  <si>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</si>
  <si>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</si>
  <si>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</si>
  <si>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</si>
  <si>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</si>
  <si>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</si>
  <si>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</si>
  <si>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</si>
  <si>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</si>
  <si>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</si>
  <si>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</si>
  <si>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</si>
  <si>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</si>
  <si>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</si>
  <si>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</si>
  <si>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</si>
  <si>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</si>
  <si>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</si>
  <si>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</si>
  <si>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</si>
  <si>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</si>
  <si>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</si>
  <si>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</si>
  <si>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</si>
  <si>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</si>
  <si>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</si>
  <si>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</si>
  <si>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</si>
  <si>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</si>
  <si>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</si>
  <si>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</si>
  <si>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</si>
  <si>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</si>
  <si>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</si>
  <si>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</si>
  <si>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</si>
  <si>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</si>
  <si>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</si>
  <si>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</si>
  <si>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</si>
  <si>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</si>
  <si>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</si>
  <si>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</si>
  <si>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</si>
  <si>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</si>
  <si>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</si>
  <si>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</si>
  <si>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</si>
  <si>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</si>
  <si>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</si>
  <si>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</si>
  <si>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</si>
  <si>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</si>
  <si>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</si>
  <si>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</si>
  <si>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</si>
  <si>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</si>
  <si>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</si>
  <si>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</si>
  <si>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</si>
  <si>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</si>
  <si>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</si>
  <si>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</si>
  <si>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</si>
  <si>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</si>
  <si>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</si>
  <si>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</si>
  <si>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</si>
  <si>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</si>
  <si>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</si>
  <si>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</si>
  <si>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</si>
  <si>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</si>
  <si>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</si>
  <si>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</si>
  <si>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</si>
  <si>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</si>
  <si>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</si>
  <si>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</si>
  <si>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</si>
  <si>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</si>
  <si>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</si>
  <si>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</si>
  <si>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</si>
  <si>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</si>
  <si>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</si>
  <si>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</si>
  <si>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</si>
  <si>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</si>
  <si>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</si>
  <si>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</si>
  <si>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</si>
  <si>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</si>
  <si>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</si>
  <si>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</si>
  <si>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</si>
  <si>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</si>
  <si>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</si>
  <si>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</si>
  <si>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</si>
  <si>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</si>
  <si>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</si>
  <si>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</si>
  <si>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</si>
  <si>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</si>
  <si>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</si>
  <si>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</si>
  <si>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</si>
  <si>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</si>
  <si>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</si>
  <si>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</si>
  <si>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</si>
  <si>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</si>
  <si>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</si>
  <si>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</si>
  <si>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</si>
  <si>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</si>
  <si>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</si>
  <si>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</si>
  <si>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</si>
  <si>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</si>
  <si>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</si>
  <si>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</si>
  <si>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</si>
  <si>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</si>
  <si>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</si>
  <si>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</si>
  <si>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</si>
  <si>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</si>
  <si>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</si>
  <si>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</si>
  <si>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</si>
  <si>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</si>
  <si>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</si>
  <si>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</si>
  <si>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</si>
  <si>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</si>
  <si>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</si>
  <si>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</si>
  <si>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</si>
  <si>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</si>
  <si>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</si>
  <si>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</si>
  <si>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</si>
  <si>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</si>
  <si>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</si>
  <si>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</si>
  <si>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</si>
  <si>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</si>
  <si>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</si>
  <si>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</si>
  <si>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</si>
  <si>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</si>
  <si>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</si>
  <si>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</si>
  <si>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</si>
  <si>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</si>
  <si>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</si>
  <si>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</si>
  <si>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</si>
  <si>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</si>
  <si>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</si>
  <si>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</si>
  <si>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</si>
  <si>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</si>
  <si>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</si>
  <si>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</si>
  <si>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</si>
  <si>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</si>
  <si>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</si>
  <si>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</si>
  <si>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</si>
  <si>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</si>
  <si>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</si>
  <si>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</si>
  <si>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</si>
  <si>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</si>
  <si>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</si>
  <si>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</si>
  <si>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</si>
  <si>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</si>
  <si>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</si>
  <si>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</si>
  <si>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</si>
  <si>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</si>
  <si>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</si>
  <si>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</si>
  <si>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</si>
  <si>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</si>
  <si>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</si>
  <si>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</si>
  <si>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</si>
  <si>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</si>
  <si>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</si>
  <si>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</si>
  <si>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</si>
  <si>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</si>
  <si>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</si>
  <si>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</si>
  <si>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</si>
  <si>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</si>
  <si>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</si>
  <si>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</si>
  <si>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</si>
  <si>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</si>
  <si>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</si>
  <si>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</si>
  <si>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</si>
  <si>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</si>
  <si>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</si>
  <si>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</si>
  <si>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</si>
  <si>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</si>
  <si>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</si>
  <si>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</si>
  <si>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</si>
  <si>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</si>
  <si>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</si>
  <si>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</si>
  <si>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</si>
  <si>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</si>
  <si>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</si>
  <si>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</si>
  <si>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</si>
  <si>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</si>
  <si>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</si>
  <si>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</si>
  <si>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</si>
  <si>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</si>
  <si>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</si>
  <si>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</si>
  <si>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</si>
  <si>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</si>
  <si>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</si>
  <si>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</si>
  <si>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</si>
  <si>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</si>
  <si>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</si>
  <si>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</si>
  <si>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</si>
  <si>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</si>
  <si>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</si>
  <si>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</si>
  <si>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</si>
  <si>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</si>
  <si>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</si>
  <si>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</si>
  <si>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</si>
  <si>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</si>
  <si>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</si>
  <si>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</si>
  <si>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</si>
  <si>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</si>
  <si>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</si>
  <si>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</si>
  <si>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</si>
  <si>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</si>
  <si>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</si>
  <si>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</si>
  <si>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</si>
  <si>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</si>
  <si>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</si>
  <si>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</si>
  <si>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</si>
  <si>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</si>
  <si>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</si>
  <si>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</si>
  <si>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</si>
  <si>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</si>
  <si>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</si>
  <si>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</si>
  <si>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</si>
  <si>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</si>
  <si>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</si>
  <si>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</si>
  <si>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</si>
  <si>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</si>
  <si>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</si>
  <si>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</si>
  <si>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</si>
  <si>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</si>
  <si>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</si>
  <si>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</si>
  <si>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</si>
  <si>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</si>
  <si>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</si>
  <si>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</si>
  <si>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</si>
  <si>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</si>
  <si>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</si>
  <si>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</si>
  <si>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</si>
  <si>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</si>
  <si>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</si>
  <si>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</si>
  <si>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</si>
  <si>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</si>
  <si>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</si>
  <si>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</si>
  <si>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</si>
  <si>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</si>
  <si>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</si>
  <si>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</si>
  <si>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</si>
  <si>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</si>
  <si>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</si>
  <si>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</si>
  <si>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</si>
  <si>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</si>
  <si>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</si>
  <si>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</si>
  <si>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</si>
  <si>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</si>
  <si>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</si>
  <si>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</si>
  <si>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</si>
  <si>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</si>
  <si>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</si>
  <si>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</si>
  <si>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</si>
  <si>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</si>
  <si>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</si>
  <si>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</si>
  <si>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</si>
  <si>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</si>
  <si>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</si>
  <si>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</si>
  <si>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</si>
  <si>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</si>
  <si>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</si>
  <si>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</si>
  <si>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</si>
  <si>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</si>
  <si>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</si>
  <si>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</si>
  <si>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</si>
  <si>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</si>
  <si>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</si>
  <si>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</si>
  <si>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</si>
  <si>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</si>
  <si>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</si>
  <si>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</si>
  <si>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</si>
  <si>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</si>
  <si>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</si>
  <si>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</si>
  <si>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</si>
  <si>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</si>
  <si>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</si>
  <si>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</si>
  <si>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</si>
  <si>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</si>
  <si>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</si>
  <si>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</si>
  <si>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</si>
  <si>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</si>
  <si>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</si>
  <si>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</si>
  <si>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</si>
  <si>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</si>
  <si>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</si>
  <si>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</si>
  <si>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</si>
  <si>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</si>
  <si>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</si>
  <si>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</si>
  <si>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</si>
  <si>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</si>
  <si>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</si>
  <si>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</si>
  <si>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</si>
  <si>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</si>
  <si>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</si>
  <si>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</si>
  <si>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</si>
  <si>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</si>
  <si>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</si>
  <si>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</si>
  <si>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</si>
  <si>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</si>
  <si>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</si>
  <si>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</si>
  <si>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</si>
  <si>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</si>
  <si>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</si>
  <si>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</si>
  <si>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</si>
  <si>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</si>
  <si>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</si>
  <si>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</si>
  <si>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</si>
  <si>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</si>
  <si>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</si>
  <si>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</si>
  <si>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</si>
  <si>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</si>
  <si>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</si>
  <si>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</si>
  <si>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</si>
  <si>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</si>
  <si>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</si>
  <si>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</si>
  <si>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</si>
  <si>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</si>
  <si>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</si>
  <si>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</si>
  <si>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</si>
  <si>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</si>
  <si>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</si>
  <si>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</si>
  <si>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</si>
  <si>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</si>
  <si>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</si>
  <si>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</si>
  <si>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</si>
  <si>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</si>
  <si>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</si>
  <si>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</si>
  <si>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</si>
  <si>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</si>
  <si>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</si>
  <si>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</si>
  <si>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</si>
  <si>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</si>
  <si>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</si>
  <si>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</si>
  <si>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</si>
  <si>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</si>
  <si>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</si>
  <si>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</si>
  <si>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</si>
  <si>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</si>
  <si>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</si>
  <si>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</si>
  <si>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</si>
  <si>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</si>
  <si>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</si>
  <si>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</si>
  <si>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</si>
  <si>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</si>
  <si>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</si>
  <si>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</si>
  <si>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</si>
  <si>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</si>
  <si>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</si>
  <si>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</si>
  <si>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</si>
  <si>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</si>
  <si>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</si>
  <si>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</si>
  <si>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</si>
  <si>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</si>
  <si>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</si>
  <si>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</si>
  <si>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</si>
  <si>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</si>
  <si>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</si>
  <si>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</si>
  <si>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</si>
  <si>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</si>
  <si>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</si>
  <si>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</si>
  <si>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</si>
  <si>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</si>
  <si>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</si>
  <si>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</si>
  <si>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</si>
  <si>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</si>
  <si>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</si>
  <si>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</si>
  <si>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</si>
  <si>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</si>
  <si>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</si>
  <si>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</si>
  <si>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</si>
  <si>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</si>
  <si>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</si>
  <si>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</si>
  <si>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</si>
  <si>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</si>
  <si>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</si>
  <si>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</si>
  <si>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</si>
  <si>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</si>
  <si>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</si>
  <si>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</si>
  <si>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</si>
  <si>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</si>
  <si>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</si>
  <si>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</si>
  <si>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</si>
  <si>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</si>
  <si>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</si>
  <si>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</si>
  <si>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</si>
  <si>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</si>
  <si>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</si>
  <si>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</si>
  <si>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</si>
  <si>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</si>
  <si>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</si>
  <si>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</si>
  <si>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</si>
  <si>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</si>
  <si>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</si>
  <si>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</si>
  <si>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</si>
  <si>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</si>
  <si>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</si>
  <si>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</si>
  <si>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</si>
  <si>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</si>
  <si>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</si>
  <si>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</si>
  <si>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</si>
  <si>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</si>
  <si>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</si>
  <si>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</si>
  <si>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</si>
  <si>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</si>
  <si>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</si>
  <si>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</si>
  <si>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</si>
  <si>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</si>
  <si>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</si>
  <si>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</si>
  <si>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</si>
  <si>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</si>
  <si>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</si>
  <si>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</si>
  <si>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</si>
  <si>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</si>
  <si>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</si>
  <si>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</si>
  <si>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</si>
  <si>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</si>
  <si>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</si>
  <si>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</si>
  <si>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</si>
  <si>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</si>
  <si>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</si>
  <si>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</si>
  <si>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</si>
  <si>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</si>
  <si>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</si>
  <si>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</si>
  <si>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</si>
  <si>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</si>
  <si>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</si>
  <si>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</si>
  <si>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</si>
  <si>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</si>
  <si>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</si>
  <si>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</si>
  <si>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</si>
  <si>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</si>
  <si>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</si>
  <si>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</si>
  <si>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</si>
  <si>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</si>
  <si>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</si>
  <si>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</si>
  <si>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</si>
  <si>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</si>
  <si>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</si>
  <si>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</si>
  <si>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</si>
  <si>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</si>
  <si>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</si>
  <si>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</si>
  <si>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</si>
  <si>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</si>
  <si>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</si>
  <si>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</si>
  <si>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</si>
  <si>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</si>
  <si>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</si>
  <si>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</si>
  <si>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</si>
  <si>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</si>
  <si>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</si>
  <si>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</si>
  <si>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</si>
  <si>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</si>
  <si>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</si>
  <si>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</si>
  <si>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</si>
  <si>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</si>
  <si>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</si>
  <si>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</si>
  <si>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</si>
  <si>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</si>
  <si>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</si>
  <si>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</si>
  <si>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</si>
  <si>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</si>
  <si>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</si>
  <si>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</si>
  <si>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</si>
  <si>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</si>
  <si>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</si>
  <si>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</si>
  <si>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</si>
  <si>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</si>
  <si>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</si>
  <si>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</si>
  <si>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</si>
  <si>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</si>
  <si>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</si>
  <si>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</si>
  <si>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</si>
  <si>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</si>
  <si>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</si>
  <si>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</si>
  <si>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</si>
  <si>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</si>
  <si>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</si>
  <si>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</si>
  <si>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</si>
  <si>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</si>
  <si>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</si>
  <si>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</si>
  <si>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</si>
  <si>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</si>
  <si>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</si>
  <si>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</si>
  <si>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</si>
  <si>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</si>
  <si>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</si>
  <si>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</si>
  <si>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</si>
  <si>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</si>
  <si>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</si>
  <si>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</si>
  <si>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</si>
  <si>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</si>
  <si>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</si>
  <si>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</si>
  <si>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</si>
  <si>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</si>
  <si>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</si>
  <si>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</si>
  <si>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</si>
  <si>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</si>
  <si>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</si>
  <si>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</si>
  <si>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</si>
  <si>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</si>
  <si>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</si>
  <si>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</si>
  <si>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</si>
  <si>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</si>
  <si>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</si>
  <si>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</si>
  <si>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</si>
  <si>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</si>
  <si>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</si>
  <si>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</si>
  <si>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</si>
  <si>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</si>
  <si>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</si>
  <si>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</si>
  <si>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</si>
  <si>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</si>
  <si>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</si>
  <si>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</si>
  <si>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</si>
  <si>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</si>
  <si>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</si>
  <si>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</si>
  <si>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</si>
  <si>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</si>
  <si>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</si>
  <si>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</si>
  <si>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</si>
  <si>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</si>
  <si>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</si>
  <si>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</si>
  <si>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</si>
  <si>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</si>
  <si>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</si>
  <si>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</si>
  <si>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</si>
  <si>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</si>
  <si>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</si>
  <si>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</si>
  <si>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</si>
  <si>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</si>
  <si>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</si>
  <si>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</si>
  <si>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</si>
  <si>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</si>
  <si>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</si>
  <si>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</si>
  <si>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</si>
  <si>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</si>
  <si>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</si>
  <si>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</si>
  <si>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</si>
  <si>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</si>
  <si>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</si>
  <si>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</si>
  <si>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</si>
  <si>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</si>
  <si>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</si>
  <si>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</si>
  <si>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</si>
  <si>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</si>
  <si>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</si>
  <si>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</si>
  <si>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</si>
  <si>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</si>
  <si>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</si>
  <si>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</si>
  <si>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</si>
  <si>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</si>
  <si>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</si>
  <si>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</si>
  <si>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</si>
  <si>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</si>
  <si>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</si>
  <si>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</si>
  <si>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</si>
  <si>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</si>
  <si>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</si>
  <si>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</si>
  <si>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</si>
  <si>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</si>
  <si>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</si>
  <si>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</si>
  <si>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</si>
  <si>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</si>
  <si>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</si>
  <si>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</si>
  <si>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</si>
  <si>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</si>
  <si>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</si>
  <si>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</si>
  <si>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</si>
  <si>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</si>
  <si>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</si>
  <si>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</si>
  <si>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</si>
  <si>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</si>
  <si>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</si>
  <si>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</si>
  <si>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</si>
  <si>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</si>
  <si>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</si>
  <si>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</si>
  <si>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</si>
  <si>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</si>
  <si>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</si>
  <si>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</si>
  <si>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</si>
  <si>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</si>
  <si>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</si>
  <si>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</si>
  <si>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</si>
  <si>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</si>
  <si>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</si>
  <si>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</si>
  <si>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</si>
  <si>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</si>
  <si>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</si>
  <si>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</si>
  <si>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</si>
  <si>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</si>
  <si>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</si>
  <si>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</si>
  <si>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</si>
  <si>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</si>
  <si>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</si>
  <si>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</si>
  <si>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</si>
  <si>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</si>
  <si>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</si>
  <si>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</si>
  <si>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</si>
  <si>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</si>
  <si>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</si>
  <si>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</si>
  <si>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</si>
  <si>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</si>
  <si>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</si>
  <si>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</si>
  <si>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</si>
  <si>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</si>
  <si>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</si>
  <si>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</si>
  <si>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</si>
  <si>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</si>
  <si>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</si>
  <si>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</si>
  <si>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</si>
  <si>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</si>
  <si>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</si>
  <si>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</si>
  <si>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</si>
  <si>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</si>
  <si>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</si>
  <si>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</si>
  <si>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</si>
  <si>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</si>
  <si>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</si>
  <si>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</si>
  <si>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</si>
  <si>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</si>
  <si>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</si>
  <si>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</si>
  <si>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</si>
  <si>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</si>
  <si>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</si>
  <si>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</si>
  <si>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</si>
  <si>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</si>
  <si>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</si>
  <si>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</si>
  <si>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</si>
  <si>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</si>
  <si>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</si>
  <si>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</si>
  <si>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</si>
  <si>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</si>
  <si>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</si>
  <si>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</si>
  <si>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</si>
  <si>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</si>
  <si>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</si>
  <si>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</si>
  <si>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</si>
  <si>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</si>
  <si>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</si>
  <si>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</si>
  <si>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</si>
  <si>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</si>
  <si>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</si>
  <si>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</si>
  <si>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</si>
  <si>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</si>
  <si>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</si>
  <si>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</si>
  <si>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</si>
  <si>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</si>
  <si>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</si>
  <si>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</si>
  <si>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</si>
  <si>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</si>
  <si>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</si>
  <si>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</si>
  <si>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</si>
  <si>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</si>
  <si>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</si>
  <si>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</si>
  <si>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</si>
  <si>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</si>
  <si>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</si>
  <si>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</si>
  <si>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</si>
  <si>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</si>
  <si>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</si>
  <si>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</si>
  <si>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</si>
  <si>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</si>
  <si>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</si>
  <si>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</si>
  <si>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</si>
  <si>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</si>
  <si>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</si>
  <si>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</si>
  <si>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</si>
  <si>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</si>
  <si>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</si>
  <si>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</si>
  <si>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</si>
  <si>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</si>
  <si>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</si>
  <si>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</si>
  <si>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</si>
  <si>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</si>
  <si>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</si>
  <si>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</si>
  <si>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</si>
  <si>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</si>
  <si>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</si>
  <si>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</si>
  <si>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</si>
  <si>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</si>
  <si>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</si>
  <si>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</si>
  <si>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</si>
  <si>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</si>
  <si>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</si>
  <si>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</si>
  <si>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</si>
  <si>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</si>
  <si>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</si>
  <si>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</si>
  <si>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</si>
  <si>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</si>
  <si>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</si>
  <si>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</si>
  <si>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</si>
  <si>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</si>
  <si>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</si>
  <si>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</si>
  <si>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</si>
  <si>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</si>
  <si>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</si>
  <si>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</si>
  <si>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</si>
  <si>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</si>
  <si>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</si>
  <si>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</si>
  <si>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</si>
  <si>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</si>
  <si>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</si>
  <si>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</si>
  <si>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</si>
  <si>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</si>
  <si>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</si>
  <si>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</si>
  <si>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</si>
  <si>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</si>
  <si>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</si>
  <si>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</si>
  <si>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</si>
  <si>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</si>
  <si>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</si>
  <si>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</si>
  <si>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</si>
  <si>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</si>
  <si>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</si>
  <si>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</si>
  <si>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</si>
  <si>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</si>
  <si>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</si>
  <si>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</si>
  <si>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</si>
  <si>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</si>
  <si>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</si>
  <si>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</si>
  <si>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</si>
  <si>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</si>
  <si>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</si>
  <si>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</si>
  <si>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</si>
  <si>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</si>
  <si>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</si>
  <si>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</si>
  <si>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</si>
  <si>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</si>
  <si>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</si>
  <si>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</si>
  <si>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</si>
  <si>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</si>
  <si>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</si>
  <si>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</si>
  <si>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</si>
  <si>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</si>
  <si>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</si>
  <si>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</si>
  <si>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</si>
  <si>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</si>
  <si>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</si>
  <si>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</si>
  <si>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</si>
  <si>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</si>
  <si>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</si>
  <si>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</si>
  <si>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</si>
  <si>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</si>
  <si>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</si>
  <si>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</si>
  <si>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</si>
  <si>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</si>
  <si>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</si>
  <si>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</si>
  <si>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</si>
  <si>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</si>
  <si>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</si>
  <si>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</si>
  <si>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</si>
  <si>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</si>
  <si>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</si>
  <si>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</si>
  <si>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</si>
  <si>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</si>
  <si>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</si>
  <si>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</si>
  <si>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</si>
  <si>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</si>
  <si>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</si>
  <si>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</si>
  <si>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</si>
  <si>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</si>
  <si>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</si>
  <si>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</si>
  <si>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</si>
  <si>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</si>
  <si>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</si>
  <si>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</si>
  <si>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</si>
  <si>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</si>
  <si>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</si>
  <si>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</si>
  <si>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</si>
  <si>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</si>
  <si>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</si>
  <si>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</si>
  <si>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</si>
  <si>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</si>
  <si>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</si>
  <si>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</si>
  <si>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</si>
  <si>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</si>
  <si>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</si>
  <si>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</si>
  <si>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</si>
  <si>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</si>
  <si>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</si>
  <si>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</si>
  <si>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</si>
  <si>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</si>
  <si>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</si>
  <si>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</si>
  <si>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</si>
  <si>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</si>
  <si>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</si>
  <si>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</si>
  <si>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</si>
  <si>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</si>
  <si>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</si>
  <si>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</si>
  <si>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</si>
  <si>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</si>
  <si>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</si>
  <si>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</si>
  <si>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</si>
  <si>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</si>
  <si>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</si>
  <si>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</si>
  <si>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</si>
  <si>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</si>
  <si>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</si>
  <si>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</si>
  <si>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</si>
  <si>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</si>
  <si>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</si>
  <si>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</si>
  <si>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</si>
  <si>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</si>
  <si>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</si>
  <si>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</si>
  <si>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</si>
  <si>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</si>
  <si>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</si>
  <si>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</si>
  <si>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</si>
  <si>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</si>
  <si>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</si>
  <si>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</si>
  <si>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</si>
  <si>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</si>
  <si>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</si>
  <si>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</si>
  <si>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</si>
  <si>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</si>
  <si>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</si>
  <si>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</si>
  <si>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</si>
  <si>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</si>
  <si>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</si>
  <si>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</si>
  <si>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</si>
  <si>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</si>
  <si>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</si>
  <si>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</si>
  <si>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</si>
  <si>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</si>
  <si>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</si>
  <si>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</si>
  <si>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</si>
  <si>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</si>
  <si>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</si>
  <si>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</si>
  <si>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</si>
  <si>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</si>
  <si>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</si>
  <si>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</si>
  <si>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</si>
  <si>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</si>
  <si>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</si>
  <si>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</si>
  <si>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</si>
  <si>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</si>
  <si>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</si>
  <si>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</si>
  <si>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</si>
  <si>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</si>
  <si>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</si>
  <si>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</si>
  <si>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</si>
  <si>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</si>
  <si>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</si>
  <si>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</si>
  <si>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</si>
  <si>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</si>
  <si>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</si>
  <si>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</si>
  <si>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</si>
  <si>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</si>
  <si>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</si>
  <si>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</si>
  <si>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</si>
  <si>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</si>
  <si>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</si>
  <si>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</si>
  <si>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</si>
  <si>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</si>
  <si>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</si>
  <si>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</si>
  <si>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</si>
  <si>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</si>
  <si>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</si>
  <si>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</si>
  <si>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</si>
  <si>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</si>
  <si>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</si>
  <si>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</si>
  <si>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</si>
  <si>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</si>
  <si>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</si>
  <si>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</si>
  <si>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</si>
  <si>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</si>
  <si>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</si>
  <si>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</si>
  <si>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</si>
  <si>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</si>
  <si>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</si>
  <si>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</si>
  <si>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</si>
  <si>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</si>
  <si>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</si>
  <si>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</si>
  <si>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</si>
  <si>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</si>
  <si>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</si>
  <si>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</si>
  <si>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</si>
  <si>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</si>
  <si>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زاگرس 20 تا 5210</t>
  </si>
  <si>
    <t>17/4/1398</t>
  </si>
  <si>
    <t>سود ایجاد شده تا 17/4/1398</t>
  </si>
  <si>
    <t>18/4/1398</t>
  </si>
  <si>
    <t>فروش 3 عدد سکه مریم</t>
  </si>
  <si>
    <t>19/4/1398</t>
  </si>
  <si>
    <t>2480000 واریز به حساب مریم</t>
  </si>
  <si>
    <t>اعتبار به کارگزاری</t>
  </si>
  <si>
    <t>طلب از رضا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</si>
</sst>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900</v>
      </c>
      <c r="D2" s="99">
        <f>B2*C2/$K$2</f>
        <v>14.00804505</v>
      </c>
      <c r="E2" s="99"/>
      <c r="F2" s="99"/>
      <c r="G2" s="99">
        <v>4667</v>
      </c>
      <c r="H2" s="99">
        <f>B2*G2/$K$2</f>
        <v>72.6394958315</v>
      </c>
      <c r="K2">
        <v>72000000000</v>
      </c>
      <c r="L2">
        <v>27308458109</v>
      </c>
      <c r="M2">
        <v>40500000000</v>
      </c>
    </row>
    <row r="3" spans="1:18">
      <c r="A3" s="146" t="s">
        <v>4946</v>
      </c>
      <c r="B3" s="146">
        <v>2605736250</v>
      </c>
      <c r="C3" s="146">
        <v>80</v>
      </c>
      <c r="D3" s="146">
        <f>B3*C3/$K$2</f>
        <v>2.8952624999999999</v>
      </c>
      <c r="E3" s="146"/>
      <c r="F3" s="146"/>
      <c r="G3" s="146">
        <v>1528</v>
      </c>
      <c r="H3" s="146">
        <f>B3*G3/$K$2</f>
        <v>55.299513750000003</v>
      </c>
      <c r="L3">
        <f>L2/M2</f>
        <v>0.67428291627160497</v>
      </c>
    </row>
    <row r="4" spans="1:18">
      <c r="A4" s="146" t="s">
        <v>4947</v>
      </c>
      <c r="B4" s="146">
        <v>560000000</v>
      </c>
      <c r="C4" s="146">
        <v>25</v>
      </c>
      <c r="D4" s="146">
        <f>B4*C4/$K$2</f>
        <v>0.19444444444444445</v>
      </c>
      <c r="E4" s="146"/>
      <c r="F4" s="146"/>
      <c r="G4" s="146">
        <v>222</v>
      </c>
      <c r="H4" s="146">
        <f>B4*G4/$K$2</f>
        <v>1.7266666666666666</v>
      </c>
    </row>
    <row r="5" spans="1:18">
      <c r="A5" s="99" t="s">
        <v>4948</v>
      </c>
      <c r="B5" s="99">
        <v>15161250</v>
      </c>
      <c r="C5" s="99">
        <v>200</v>
      </c>
      <c r="D5" s="99">
        <f>B5*C5/$K$2</f>
        <v>4.211458333333333E-2</v>
      </c>
      <c r="E5" s="99"/>
      <c r="F5" s="99"/>
      <c r="G5" s="99">
        <v>1535</v>
      </c>
      <c r="H5" s="99">
        <f>B5*G5/$K$2</f>
        <v>0.32322942708333335</v>
      </c>
    </row>
    <row r="6" spans="1:18">
      <c r="A6" s="23"/>
      <c r="B6" s="23"/>
      <c r="C6" s="23"/>
      <c r="D6" s="23">
        <f>B6*C6/$K$2</f>
        <v>0</v>
      </c>
      <c r="E6" s="23"/>
      <c r="F6" s="23"/>
      <c r="G6" s="23"/>
      <c r="H6" s="99"/>
    </row>
    <row r="7" spans="1:18">
      <c r="A7" s="99" t="s">
        <v>4944</v>
      </c>
      <c r="B7" s="99">
        <v>1124709340</v>
      </c>
      <c r="C7" s="99">
        <f>C2</f>
        <v>900</v>
      </c>
      <c r="D7" s="99">
        <f t="shared" ref="D7:D19" si="0">B7*C7*$L$3/$K$2</f>
        <v>9.4796536716639022</v>
      </c>
      <c r="E7" s="99">
        <v>0</v>
      </c>
      <c r="F7" s="99">
        <f t="shared" ref="F7:F19" si="1">B7*E7*$L$3/$K$2</f>
        <v>0</v>
      </c>
      <c r="G7" s="99">
        <f>G2</f>
        <v>4667</v>
      </c>
      <c r="H7" s="99">
        <f t="shared" ref="H7:H15" si="2">B7*G7*$L$3/$K$2</f>
        <v>49.157270761839364</v>
      </c>
    </row>
    <row r="8" spans="1:18">
      <c r="A8" s="99" t="s">
        <v>4951</v>
      </c>
      <c r="B8" s="99">
        <v>555409765</v>
      </c>
      <c r="C8" s="99">
        <v>0</v>
      </c>
      <c r="D8" s="99">
        <f t="shared" si="0"/>
        <v>0</v>
      </c>
      <c r="E8" s="99">
        <v>300</v>
      </c>
      <c r="F8" s="99">
        <f t="shared" si="1"/>
        <v>1.5604304836246949</v>
      </c>
      <c r="G8" s="99">
        <v>3840</v>
      </c>
      <c r="H8" s="99">
        <f t="shared" si="2"/>
        <v>19.973510190396095</v>
      </c>
    </row>
    <row r="9" spans="1:18">
      <c r="A9" s="99" t="s">
        <v>4948</v>
      </c>
      <c r="B9" s="99">
        <v>2103087537</v>
      </c>
      <c r="C9" s="99">
        <v>200</v>
      </c>
      <c r="D9" s="99">
        <f t="shared" si="0"/>
        <v>3.9390999933967414</v>
      </c>
      <c r="E9" s="99"/>
      <c r="F9" s="99">
        <f t="shared" si="1"/>
        <v>0</v>
      </c>
      <c r="G9" s="99">
        <f>G5</f>
        <v>1535</v>
      </c>
      <c r="H9" s="99">
        <f t="shared" si="2"/>
        <v>30.232592449319991</v>
      </c>
      <c r="J9" t="s">
        <v>25</v>
      </c>
    </row>
    <row r="10" spans="1:18">
      <c r="A10" s="99" t="s">
        <v>4954</v>
      </c>
      <c r="B10" s="99">
        <v>4123527587</v>
      </c>
      <c r="C10" s="99">
        <v>400</v>
      </c>
      <c r="D10" s="99">
        <f t="shared" si="0"/>
        <v>15.44680114827097</v>
      </c>
      <c r="E10" s="99"/>
      <c r="F10" s="99">
        <f t="shared" si="1"/>
        <v>0</v>
      </c>
      <c r="G10" s="99">
        <v>1785</v>
      </c>
      <c r="H10" s="99">
        <f t="shared" si="2"/>
        <v>68.931350124159195</v>
      </c>
    </row>
    <row r="11" spans="1:18">
      <c r="A11" s="99" t="s">
        <v>4955</v>
      </c>
      <c r="B11" s="99">
        <v>2635379034</v>
      </c>
      <c r="C11" s="99">
        <v>85</v>
      </c>
      <c r="D11" s="99">
        <f t="shared" si="0"/>
        <v>2.097836668677195</v>
      </c>
      <c r="E11" s="99"/>
      <c r="F11" s="99">
        <f t="shared" si="1"/>
        <v>0</v>
      </c>
      <c r="G11" s="99">
        <v>937</v>
      </c>
      <c r="H11" s="99">
        <f t="shared" si="2"/>
        <v>23.12556421824155</v>
      </c>
    </row>
    <row r="12" spans="1:18">
      <c r="A12" s="99" t="s">
        <v>4956</v>
      </c>
      <c r="B12" s="99">
        <v>1886721602</v>
      </c>
      <c r="C12" s="99">
        <v>350</v>
      </c>
      <c r="D12" s="99">
        <f t="shared" si="0"/>
        <v>6.1842284777252505</v>
      </c>
      <c r="E12" s="99"/>
      <c r="F12" s="99">
        <f t="shared" si="1"/>
        <v>0</v>
      </c>
      <c r="G12" s="99">
        <v>2574</v>
      </c>
      <c r="H12" s="99">
        <f t="shared" si="2"/>
        <v>45.4805831476137</v>
      </c>
      <c r="M12" t="s">
        <v>5044</v>
      </c>
    </row>
    <row r="13" spans="1:18">
      <c r="A13" s="99" t="s">
        <v>4957</v>
      </c>
      <c r="B13" s="99">
        <v>1630533748</v>
      </c>
      <c r="C13" s="99">
        <v>60</v>
      </c>
      <c r="D13" s="99">
        <f t="shared" si="0"/>
        <v>0.91620087556725849</v>
      </c>
      <c r="E13" s="99"/>
      <c r="F13" s="99">
        <f t="shared" si="1"/>
        <v>0</v>
      </c>
      <c r="G13" s="99">
        <v>929</v>
      </c>
      <c r="H13" s="99">
        <f t="shared" si="2"/>
        <v>14.185843556699719</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5240</v>
      </c>
      <c r="H14" s="146">
        <f t="shared" si="2"/>
        <v>39.922385725657783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1560</v>
      </c>
      <c r="H15" s="146">
        <f t="shared" si="2"/>
        <v>3.4618295428374637</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66.926263035261101</v>
      </c>
      <c r="E21" s="99"/>
      <c r="F21" s="99"/>
      <c r="G21" s="99"/>
      <c r="H21" s="99">
        <f>SUM(H2:H19)</f>
        <v>424.45983539201478</v>
      </c>
      <c r="I21">
        <f>H21*0.8</f>
        <v>339.56786831361183</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5136</v>
      </c>
      <c r="N23" s="18">
        <v>-50000</v>
      </c>
      <c r="O23" s="99">
        <v>7</v>
      </c>
      <c r="P23" s="99"/>
      <c r="Q23" s="99"/>
      <c r="R23" s="99"/>
    </row>
    <row r="24" spans="1:18">
      <c r="A24" s="99"/>
      <c r="B24" s="99"/>
      <c r="C24" s="99"/>
      <c r="D24" s="99"/>
      <c r="E24" s="99"/>
      <c r="F24" s="99"/>
      <c r="G24" s="99"/>
      <c r="H24" s="99"/>
      <c r="M24" s="99" t="s">
        <v>5151</v>
      </c>
      <c r="N24" s="18">
        <v>-2480000</v>
      </c>
      <c r="O24" s="99">
        <v>1</v>
      </c>
      <c r="P24" s="99"/>
      <c r="Q24" s="99"/>
      <c r="R24" s="99"/>
    </row>
    <row r="25" spans="1:18">
      <c r="H25">
        <v>233</v>
      </c>
      <c r="I25">
        <f>H25/H21</f>
        <v>0.54893297450584499</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5470000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v>13350000</v>
      </c>
      <c r="E70" s="256" t="s">
        <v>5150</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I34" zoomScale="90" zoomScaleNormal="90" workbookViewId="0">
      <selection activeCell="L48" sqref="L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2502674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631217090.41040611</v>
      </c>
      <c r="M21" s="168" t="s">
        <v>4300</v>
      </c>
      <c r="N21" s="113">
        <f t="shared" ref="N21:N26" si="9">O21*P21</f>
        <v>309739907</v>
      </c>
      <c r="O21" s="99">
        <v>1343774</v>
      </c>
      <c r="P21" s="185">
        <f>P52</f>
        <v>230.5</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10277686.200000001</v>
      </c>
      <c r="O22" s="99">
        <v>2199</v>
      </c>
      <c r="P22" s="185">
        <f>P47</f>
        <v>4673.8</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-23888909</v>
      </c>
      <c r="M23" s="213" t="s">
        <v>4408</v>
      </c>
      <c r="N23" s="113">
        <f t="shared" si="9"/>
        <v>111164302.2</v>
      </c>
      <c r="O23" s="99">
        <v>161061</v>
      </c>
      <c r="P23" s="185">
        <f>P50</f>
        <v>690.2</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556036258.41040611</v>
      </c>
      <c r="G24" s="95">
        <f t="shared" si="0"/>
        <v>-275729913.02846748</v>
      </c>
      <c r="H24" s="11"/>
      <c r="I24" s="96"/>
      <c r="J24" s="96"/>
      <c r="K24" s="213"/>
      <c r="L24" s="117"/>
      <c r="M24" s="213" t="s">
        <v>5103</v>
      </c>
      <c r="N24" s="113">
        <f t="shared" si="9"/>
        <v>231855.6</v>
      </c>
      <c r="O24" s="99">
        <v>303</v>
      </c>
      <c r="P24" s="185">
        <f>P49</f>
        <v>765.2</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5139</v>
      </c>
      <c r="N25" s="113">
        <f t="shared" si="9"/>
        <v>36965.599999999999</v>
      </c>
      <c r="O25" s="99">
        <v>92</v>
      </c>
      <c r="P25" s="185">
        <f>P51</f>
        <v>401.8</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48307693.5</v>
      </c>
      <c r="O26" s="99">
        <v>9273</v>
      </c>
      <c r="P26" s="99">
        <f>P48</f>
        <v>5209.5</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2501594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4808368.5</v>
      </c>
      <c r="O29" s="69">
        <v>923</v>
      </c>
      <c r="P29" s="99">
        <f>P48</f>
        <v>5209.5</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231855.6</v>
      </c>
      <c r="O30" s="69">
        <v>303</v>
      </c>
      <c r="P30" s="99">
        <f>P49</f>
        <v>765.2</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1107080.8</v>
      </c>
      <c r="O31" s="69">
        <v>1604</v>
      </c>
      <c r="P31" s="99">
        <f>P50</f>
        <v>690.2</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5139</v>
      </c>
      <c r="N32" s="113">
        <f t="shared" si="13"/>
        <v>36965.599999999999</v>
      </c>
      <c r="O32" s="69">
        <v>92</v>
      </c>
      <c r="P32" s="99">
        <f>P51</f>
        <v>401.8</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72327903.5</v>
      </c>
      <c r="O33" s="69">
        <v>313787</v>
      </c>
      <c r="P33" s="99">
        <f>P52</f>
        <v>230.5</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-S155</f>
        <v>-631217090.41040611</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13650000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10000800</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-5470000</v>
      </c>
      <c r="M46" s="21" t="s">
        <v>4566</v>
      </c>
      <c r="N46" s="117">
        <f t="shared" ref="N46:N53" si="16">O46*P46</f>
        <v>75295</v>
      </c>
      <c r="O46" s="69">
        <v>50</v>
      </c>
      <c r="P46" s="69">
        <v>1505.9</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t="s">
        <v>5154</v>
      </c>
      <c r="L47" s="117">
        <v>5000000</v>
      </c>
      <c r="M47" s="21" t="s">
        <v>4389</v>
      </c>
      <c r="N47" s="117">
        <f t="shared" si="16"/>
        <v>107497.40000000001</v>
      </c>
      <c r="O47" s="69">
        <v>23</v>
      </c>
      <c r="P47" s="69">
        <v>4673.8</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104190</v>
      </c>
      <c r="O48" s="69">
        <v>20</v>
      </c>
      <c r="P48" s="69">
        <v>5209.5</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231855.6</v>
      </c>
      <c r="O49" s="69">
        <v>303</v>
      </c>
      <c r="P49" s="69">
        <v>765.2</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129456672.80000001</v>
      </c>
      <c r="O50" s="69">
        <v>187564</v>
      </c>
      <c r="P50" s="69">
        <v>690.2</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5139</v>
      </c>
      <c r="N51" s="117">
        <f t="shared" si="16"/>
        <v>36965.599999999999</v>
      </c>
      <c r="O51" s="69">
        <v>92</v>
      </c>
      <c r="P51" s="69">
        <v>401.8</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628530166</v>
      </c>
      <c r="O52" s="99">
        <v>2726812</v>
      </c>
      <c r="P52" s="99">
        <v>230.5</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455000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5136</v>
      </c>
      <c r="S58" s="197">
        <f>S57-7</f>
        <v>-9</v>
      </c>
      <c r="T58" s="213" t="s">
        <v>5140</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334</v>
      </c>
      <c r="AM58" s="113">
        <f t="shared" si="11"/>
        <v>263860000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75009640.100000024</v>
      </c>
      <c r="R60" s="168"/>
      <c r="S60" s="168" t="s">
        <v>25</v>
      </c>
      <c r="T60" s="168"/>
      <c r="U60" s="168"/>
      <c r="V60" s="168"/>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-S156</f>
        <v>-19538497.622821346</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309</v>
      </c>
      <c r="AM62" s="113">
        <f t="shared" si="11"/>
        <v>61800000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306</v>
      </c>
      <c r="AM63" s="113">
        <f t="shared" si="11"/>
        <v>306000000</v>
      </c>
      <c r="AN63" s="20"/>
    </row>
    <row r="64" spans="1:45" ht="30">
      <c r="E64" s="26"/>
      <c r="K64" s="168" t="s">
        <v>598</v>
      </c>
      <c r="L64" s="113">
        <f>SUM(L16:L50)</f>
        <v>556036258.41040611</v>
      </c>
      <c r="M64" s="168"/>
      <c r="N64" s="113">
        <f>SUM(N16:N63)</f>
        <v>634609644.46677268</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303</v>
      </c>
      <c r="AM64" s="113">
        <f t="shared" si="11"/>
        <v>393900000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303</v>
      </c>
      <c r="AM65" s="113">
        <f t="shared" si="11"/>
        <v>301485000</v>
      </c>
      <c r="AN65" s="20"/>
    </row>
    <row r="66" spans="1:40">
      <c r="K66" s="56" t="s">
        <v>716</v>
      </c>
      <c r="L66" s="1">
        <f>L64+N7</f>
        <v>626036258.41040611</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301</v>
      </c>
      <c r="AM66" s="113">
        <f t="shared" si="11"/>
        <v>3913000000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299</v>
      </c>
      <c r="AM67" s="113">
        <f t="shared" si="11"/>
        <v>-926900000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296</v>
      </c>
      <c r="AM68" s="113">
        <f t="shared" si="11"/>
        <v>13509440000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295</v>
      </c>
      <c r="AM69" s="113">
        <f t="shared" si="11"/>
        <v>9882500000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294</v>
      </c>
      <c r="AM70" s="117">
        <f t="shared" si="11"/>
        <v>3528000000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293</v>
      </c>
      <c r="AM71" s="117">
        <f t="shared" si="11"/>
        <v>4541500000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289</v>
      </c>
      <c r="AM72" s="117">
        <f t="shared" si="11"/>
        <v>43350000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288</v>
      </c>
      <c r="AM73" s="180">
        <f t="shared" si="11"/>
        <v>8352000000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273</v>
      </c>
      <c r="AM74" s="117">
        <f t="shared" si="11"/>
        <v>-35490000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266</v>
      </c>
      <c r="AM75" s="117">
        <f>AJ75*AL75</f>
        <v>61712000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264</v>
      </c>
      <c r="AM76" s="117">
        <f t="shared" si="11"/>
        <v>-44880000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261</v>
      </c>
      <c r="AM77" s="117">
        <f t="shared" si="11"/>
        <v>-78300000</v>
      </c>
      <c r="AN77" s="20"/>
    </row>
    <row r="78" spans="1:40">
      <c r="D78" s="1" t="s">
        <v>321</v>
      </c>
      <c r="E78" s="1">
        <v>100000</v>
      </c>
      <c r="G78" s="47">
        <v>180000</v>
      </c>
      <c r="H78" s="201" t="s">
        <v>558</v>
      </c>
      <c r="K78" t="s">
        <v>4809</v>
      </c>
      <c r="M78" s="96">
        <f>O52+O21+O33-O58</f>
        <v>4384373</v>
      </c>
      <c r="N78" s="113">
        <f>M78*P52</f>
        <v>1010597976.5</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244</v>
      </c>
      <c r="AM80" s="117">
        <f>AJ80*AL80</f>
        <v>-597800000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t="s">
        <v>4536</v>
      </c>
      <c r="M83" s="263" t="s">
        <v>5090</v>
      </c>
      <c r="P83" s="115"/>
      <c r="Q83" s="169">
        <v>29111</v>
      </c>
      <c r="R83" s="19" t="s">
        <v>5136</v>
      </c>
      <c r="S83" s="197">
        <f>S82-9</f>
        <v>-9</v>
      </c>
      <c r="T83" s="189" t="s">
        <v>5140</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233</v>
      </c>
      <c r="AM84" s="117">
        <f t="shared" si="11"/>
        <v>454572981</v>
      </c>
      <c r="AN84" s="20"/>
      <c r="AZ84" t="s">
        <v>25</v>
      </c>
    </row>
    <row r="85" spans="4:52">
      <c r="D85" s="32" t="s">
        <v>312</v>
      </c>
      <c r="E85" s="1">
        <v>200000</v>
      </c>
      <c r="G85" s="47">
        <v>50000</v>
      </c>
      <c r="H85" s="48" t="s">
        <v>792</v>
      </c>
      <c r="K85" t="s">
        <v>4533</v>
      </c>
      <c r="Q85" s="113">
        <f>SUM(N29:N33)-SUM(Q65:Q84)</f>
        <v>10534673</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229</v>
      </c>
      <c r="AM85" s="117">
        <f t="shared" si="11"/>
        <v>137400000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224</v>
      </c>
      <c r="AM86" s="117">
        <f t="shared" si="11"/>
        <v>1680000000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222</v>
      </c>
      <c r="AM87" s="117">
        <f t="shared" si="11"/>
        <v>-130495152</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219</v>
      </c>
      <c r="AM88" s="117">
        <f t="shared" si="11"/>
        <v>-198740091</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219</v>
      </c>
      <c r="AM89" s="117">
        <f t="shared" si="11"/>
        <v>536550000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218</v>
      </c>
      <c r="AM90" s="117">
        <f t="shared" si="11"/>
        <v>327000000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217</v>
      </c>
      <c r="AM91" s="117">
        <f t="shared" si="11"/>
        <v>574616000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216</v>
      </c>
      <c r="AM92" s="117">
        <f t="shared" si="11"/>
        <v>132840000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212</v>
      </c>
      <c r="AM93" s="117">
        <f t="shared" si="11"/>
        <v>2968000000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210</v>
      </c>
      <c r="AM94" s="117">
        <f t="shared" si="11"/>
        <v>275730000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210</v>
      </c>
      <c r="AM95" s="117">
        <f t="shared" si="11"/>
        <v>476490000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205</v>
      </c>
      <c r="AM97" s="117">
        <f t="shared" si="11"/>
        <v>389500000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202</v>
      </c>
      <c r="AM98" s="117">
        <f t="shared" si="11"/>
        <v>1292800000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201</v>
      </c>
      <c r="AM99" s="117">
        <f t="shared" si="11"/>
        <v>1005000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196</v>
      </c>
      <c r="AM100" s="117">
        <f t="shared" si="11"/>
        <v>-343029008</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195</v>
      </c>
      <c r="AM101" s="117">
        <f t="shared" si="11"/>
        <v>78000000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195</v>
      </c>
      <c r="AM102" s="117">
        <f t="shared" si="11"/>
        <v>-410557095</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194</v>
      </c>
      <c r="AM103" s="117">
        <f t="shared" si="11"/>
        <v>-1072357892</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194</v>
      </c>
      <c r="AM104" s="117">
        <f t="shared" si="11"/>
        <v>756600000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191</v>
      </c>
      <c r="AM105" s="117">
        <f t="shared" si="11"/>
        <v>-758223014</v>
      </c>
      <c r="AN105" s="99"/>
    </row>
    <row r="106" spans="4:47">
      <c r="F106" s="199">
        <f>$L$114/G106</f>
        <v>19739.696312364424</v>
      </c>
      <c r="G106" s="199">
        <f>P52</f>
        <v>230.5</v>
      </c>
      <c r="H106" s="199" t="s">
        <v>4790</v>
      </c>
      <c r="I106" s="199" t="s">
        <v>4789</v>
      </c>
      <c r="J106" s="214" t="s">
        <v>4242</v>
      </c>
      <c r="K106" s="199">
        <v>152</v>
      </c>
      <c r="L106" s="215">
        <f t="shared" ref="L106:L111" si="26">K106*$L$114</f>
        <v>691600000</v>
      </c>
      <c r="M106" s="215">
        <f>N21+N33+N52</f>
        <v>1010597976.5</v>
      </c>
      <c r="N106" s="183">
        <f t="shared" ref="N106:N110" si="27">L106-M106</f>
        <v>-318997976.5</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190</v>
      </c>
      <c r="AM106" s="117">
        <f t="shared" si="11"/>
        <v>-4859146450</v>
      </c>
      <c r="AN106" s="99"/>
      <c r="AP106" t="s">
        <v>25</v>
      </c>
    </row>
    <row r="107" spans="4:47">
      <c r="F107" s="213">
        <f>$L$114/G107</f>
        <v>873.40435742393709</v>
      </c>
      <c r="G107" s="213">
        <f>P48</f>
        <v>5209.5</v>
      </c>
      <c r="H107" s="213" t="s">
        <v>4975</v>
      </c>
      <c r="I107" s="213" t="s">
        <v>4976</v>
      </c>
      <c r="J107" s="32" t="s">
        <v>4393</v>
      </c>
      <c r="K107" s="213">
        <v>12</v>
      </c>
      <c r="L107" s="1">
        <f t="shared" si="26"/>
        <v>54600000</v>
      </c>
      <c r="M107" s="1">
        <f>N26+N48+N29</f>
        <v>53220252</v>
      </c>
      <c r="N107" s="113">
        <f t="shared" si="27"/>
        <v>1379748</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190</v>
      </c>
      <c r="AM107" s="117">
        <f t="shared" si="11"/>
        <v>760000000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189</v>
      </c>
      <c r="AM108" s="117">
        <f t="shared" si="11"/>
        <v>-945000000</v>
      </c>
      <c r="AN108" s="99"/>
    </row>
    <row r="109" spans="4:47">
      <c r="F109" s="213">
        <f>$L$114/G109</f>
        <v>6592.2920892494922</v>
      </c>
      <c r="G109" s="213">
        <f>P50</f>
        <v>690.2</v>
      </c>
      <c r="H109" s="213" t="s">
        <v>4679</v>
      </c>
      <c r="I109" s="213" t="s">
        <v>4678</v>
      </c>
      <c r="J109" s="32" t="s">
        <v>4408</v>
      </c>
      <c r="K109" s="213">
        <v>54</v>
      </c>
      <c r="L109" s="1">
        <f t="shared" si="26"/>
        <v>245700000</v>
      </c>
      <c r="M109" s="1">
        <f>N50+N23</f>
        <v>240620975</v>
      </c>
      <c r="N109" s="113">
        <f t="shared" si="27"/>
        <v>5079025</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187</v>
      </c>
      <c r="AM109" s="117">
        <f t="shared" si="11"/>
        <v>1870000000</v>
      </c>
      <c r="AN109" s="99"/>
    </row>
    <row r="110" spans="4:47">
      <c r="F110" s="199"/>
      <c r="G110" s="199"/>
      <c r="H110" s="199"/>
      <c r="I110" s="199"/>
      <c r="J110" s="214" t="s">
        <v>4655</v>
      </c>
      <c r="K110" s="199">
        <v>1</v>
      </c>
      <c r="L110" s="215">
        <f t="shared" si="26"/>
        <v>4550000</v>
      </c>
      <c r="M110" s="215">
        <f>N46</f>
        <v>75295</v>
      </c>
      <c r="N110" s="183">
        <f t="shared" si="27"/>
        <v>4474705</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183</v>
      </c>
      <c r="AM110" s="117">
        <f t="shared" si="11"/>
        <v>-959274471</v>
      </c>
      <c r="AN110" s="99"/>
    </row>
    <row r="111" spans="4:47">
      <c r="F111" s="191"/>
      <c r="G111" s="191"/>
      <c r="H111" s="191"/>
      <c r="I111" s="191"/>
      <c r="J111" s="258" t="s">
        <v>5148</v>
      </c>
      <c r="K111" s="191">
        <v>63</v>
      </c>
      <c r="L111" s="259">
        <f t="shared" si="26"/>
        <v>286650000</v>
      </c>
      <c r="M111" s="259">
        <v>0</v>
      </c>
      <c r="N111" s="86">
        <f>L111-M111</f>
        <v>286650000</v>
      </c>
      <c r="Q111" s="35">
        <v>40048573</v>
      </c>
      <c r="R111" s="5" t="s">
        <v>4628</v>
      </c>
      <c r="S111" s="5">
        <f>S110-3</f>
        <v>154</v>
      </c>
      <c r="T111" s="5" t="s">
        <v>4632</v>
      </c>
      <c r="U111" s="168">
        <v>498.9</v>
      </c>
      <c r="V111" s="99">
        <f t="shared" si="22"/>
        <v>565.42182246575351</v>
      </c>
      <c r="W111" s="32">
        <f t="shared" ref="W111:W143" si="28">V111*(1+$W$19/100)</f>
        <v>576.73025891506859</v>
      </c>
      <c r="X111" s="32">
        <f t="shared" ref="X111:X143" si="29">V111*(1+$X$19/100)</f>
        <v>588.03869536438367</v>
      </c>
      <c r="AH111" s="99">
        <v>91</v>
      </c>
      <c r="AI111" s="113" t="s">
        <v>4578</v>
      </c>
      <c r="AJ111" s="113">
        <v>21900000</v>
      </c>
      <c r="AK111" s="99">
        <v>2</v>
      </c>
      <c r="AL111" s="99">
        <f t="shared" si="25"/>
        <v>183</v>
      </c>
      <c r="AM111" s="117">
        <f t="shared" si="11"/>
        <v>4007700000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181</v>
      </c>
      <c r="AM112" s="117">
        <f t="shared" si="11"/>
        <v>-2715000000</v>
      </c>
      <c r="AN112" s="99"/>
      <c r="AO112" t="s">
        <v>25</v>
      </c>
    </row>
    <row r="113" spans="6:46">
      <c r="F113" s="199"/>
      <c r="G113" s="199"/>
      <c r="H113" s="199"/>
      <c r="I113" s="199"/>
      <c r="J113" s="214" t="s">
        <v>4878</v>
      </c>
      <c r="K113" s="199">
        <f>SUM(K106:K111)</f>
        <v>282</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181</v>
      </c>
      <c r="AM113" s="117">
        <f t="shared" si="11"/>
        <v>543000000</v>
      </c>
      <c r="AN113" s="99"/>
    </row>
    <row r="114" spans="6:46">
      <c r="F114" s="213"/>
      <c r="G114" s="213"/>
      <c r="H114" s="213" t="s">
        <v>25</v>
      </c>
      <c r="I114" s="213"/>
      <c r="J114" s="32"/>
      <c r="K114" s="213">
        <v>0</v>
      </c>
      <c r="L114" s="39">
        <f>10*P53</f>
        <v>4550000</v>
      </c>
      <c r="M114" s="1">
        <f>K114*L114</f>
        <v>0</v>
      </c>
      <c r="N114" s="113">
        <f>SUM(N106:N112)-M114</f>
        <v>-1414498.5</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180</v>
      </c>
      <c r="AM114" s="117">
        <f t="shared" si="11"/>
        <v>-378672480</v>
      </c>
      <c r="AN114" s="99"/>
    </row>
    <row r="115" spans="6:46">
      <c r="F115" s="199"/>
      <c r="G115" s="199"/>
      <c r="H115" s="199"/>
      <c r="I115" s="199"/>
      <c r="J115" s="214"/>
      <c r="K115" s="245"/>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180</v>
      </c>
      <c r="AM115" s="117">
        <f t="shared" si="11"/>
        <v>39600000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177</v>
      </c>
      <c r="AM116" s="117">
        <f t="shared" si="11"/>
        <v>708000000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176</v>
      </c>
      <c r="AM117" s="117">
        <f t="shared" si="11"/>
        <v>-1584000000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176</v>
      </c>
      <c r="AM118" s="117">
        <f t="shared" si="11"/>
        <v>2446400000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174</v>
      </c>
      <c r="AM119" s="117">
        <f t="shared" si="11"/>
        <v>-1414198398</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173</v>
      </c>
      <c r="AM120" s="117">
        <f t="shared" si="11"/>
        <v>2732110977</v>
      </c>
      <c r="AN120" s="99"/>
      <c r="AO120" t="s">
        <v>25</v>
      </c>
      <c r="AP120" t="s">
        <v>25</v>
      </c>
    </row>
    <row r="121" spans="6:46">
      <c r="F121" s="96"/>
      <c r="G121" s="213"/>
      <c r="H121" s="213"/>
      <c r="I121" s="213" t="s">
        <v>5141</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170</v>
      </c>
      <c r="AM121" s="117">
        <f t="shared" ref="AM121:AM144" si="32">AJ121*AL121</f>
        <v>1496000000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170</v>
      </c>
      <c r="AM122" s="79">
        <f t="shared" si="32"/>
        <v>2222174040</v>
      </c>
      <c r="AN122" s="205" t="s">
        <v>4619</v>
      </c>
    </row>
    <row r="123" spans="6:46">
      <c r="F123" s="96"/>
      <c r="G123" s="1">
        <f>P52</f>
        <v>230.5</v>
      </c>
      <c r="H123" s="213" t="s">
        <v>4242</v>
      </c>
      <c r="I123" s="213">
        <v>111524</v>
      </c>
      <c r="J123" s="1">
        <f t="shared" ref="J123" si="33">I123*G123</f>
        <v>25706282</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169</v>
      </c>
      <c r="AM123" s="90">
        <f t="shared" si="32"/>
        <v>2826869253</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169</v>
      </c>
      <c r="AM124" s="117">
        <f t="shared" si="32"/>
        <v>2028000000</v>
      </c>
      <c r="AN124" s="99" t="s">
        <v>4630</v>
      </c>
    </row>
    <row r="125" spans="6:46">
      <c r="F125" s="96"/>
      <c r="G125" s="213"/>
      <c r="H125" s="213"/>
      <c r="I125" s="113">
        <f>J125-J121</f>
        <v>19310700</v>
      </c>
      <c r="J125" s="1">
        <f>SUM(J123:J123)</f>
        <v>25706282</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3" si="34">U125*(1+$R$89+$Q$15*S125/36500)</f>
        <v>205.81388054794525</v>
      </c>
      <c r="W125" s="32">
        <f t="shared" si="28"/>
        <v>209.93015815890416</v>
      </c>
      <c r="X125" s="32">
        <f t="shared" si="29"/>
        <v>214.04643576986305</v>
      </c>
      <c r="AH125" s="89">
        <v>105</v>
      </c>
      <c r="AI125" s="90" t="s">
        <v>4549</v>
      </c>
      <c r="AJ125" s="90">
        <v>88697667</v>
      </c>
      <c r="AK125" s="89">
        <v>1</v>
      </c>
      <c r="AL125" s="89">
        <f t="shared" si="31"/>
        <v>168</v>
      </c>
      <c r="AM125" s="90">
        <f t="shared" si="32"/>
        <v>14901208056</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167</v>
      </c>
      <c r="AM126" s="117">
        <f t="shared" si="32"/>
        <v>16867000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167</v>
      </c>
      <c r="AM127" s="188">
        <f t="shared" si="32"/>
        <v>-8049400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167</v>
      </c>
      <c r="AM128" s="188">
        <f t="shared" si="32"/>
        <v>6567657931</v>
      </c>
      <c r="AN128" s="89" t="s">
        <v>4638</v>
      </c>
    </row>
    <row r="129" spans="7:43">
      <c r="G129" s="1">
        <f>P52</f>
        <v>230.5</v>
      </c>
      <c r="H129" s="99" t="s">
        <v>4242</v>
      </c>
      <c r="I129" s="99">
        <v>45000</v>
      </c>
      <c r="J129" s="1">
        <f>G129*I129</f>
        <v>10372500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163</v>
      </c>
      <c r="AM129" s="90">
        <f t="shared" si="32"/>
        <v>1426095150</v>
      </c>
      <c r="AN129" s="89" t="s">
        <v>4654</v>
      </c>
    </row>
    <row r="130" spans="7:43">
      <c r="G130" s="1">
        <f>P47</f>
        <v>4673.8</v>
      </c>
      <c r="H130" s="99" t="s">
        <v>4389</v>
      </c>
      <c r="I130" s="99">
        <v>2199</v>
      </c>
      <c r="J130" s="1">
        <f>G130*I130</f>
        <v>10277686.200000001</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162</v>
      </c>
      <c r="AM130" s="117">
        <f t="shared" si="32"/>
        <v>9720000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161</v>
      </c>
      <c r="AM131" s="117">
        <f t="shared" si="32"/>
        <v>764750000</v>
      </c>
      <c r="AN131" s="20"/>
      <c r="AQ131" t="s">
        <v>25</v>
      </c>
    </row>
    <row r="132" spans="7:43">
      <c r="G132" s="99"/>
      <c r="H132" s="99"/>
      <c r="I132" s="95">
        <f>J132-J128</f>
        <v>650186.20000000298</v>
      </c>
      <c r="J132" s="1">
        <f>SUM(J129:J131)</f>
        <v>20650186.200000003</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161</v>
      </c>
      <c r="AM132" s="90">
        <f t="shared" si="32"/>
        <v>2109286760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160</v>
      </c>
      <c r="AM133" s="117">
        <f t="shared" si="32"/>
        <v>-156800000</v>
      </c>
      <c r="AN133" s="20"/>
    </row>
    <row r="134" spans="7:43">
      <c r="Q134" s="169">
        <v>43287917</v>
      </c>
      <c r="R134" s="213" t="s">
        <v>5096</v>
      </c>
      <c r="S134" s="213">
        <f>S133-3</f>
        <v>2</v>
      </c>
      <c r="T134" s="213" t="s">
        <v>5128</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160</v>
      </c>
      <c r="AM134" s="90">
        <f t="shared" si="32"/>
        <v>2128286400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160</v>
      </c>
      <c r="AM135" s="117">
        <f t="shared" si="32"/>
        <v>64640000</v>
      </c>
      <c r="AN135" s="20" t="s">
        <v>4675</v>
      </c>
    </row>
    <row r="136" spans="7:43">
      <c r="G136" s="1">
        <f>P52</f>
        <v>230.5</v>
      </c>
      <c r="H136" s="99" t="s">
        <v>4242</v>
      </c>
      <c r="I136" s="99">
        <v>46582</v>
      </c>
      <c r="J136" s="1">
        <f>G136*I136</f>
        <v>10737151</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155</v>
      </c>
      <c r="AM136" s="90">
        <f t="shared" si="32"/>
        <v>665202340</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153</v>
      </c>
      <c r="AM137" s="117">
        <f t="shared" si="32"/>
        <v>153000</v>
      </c>
      <c r="AN137" s="20"/>
    </row>
    <row r="138" spans="7:43">
      <c r="G138" s="99"/>
      <c r="H138" s="99"/>
      <c r="I138" s="1">
        <f>J138-J135</f>
        <v>942151</v>
      </c>
      <c r="J138" s="1">
        <f>SUM(J136:J137)</f>
        <v>10737151</v>
      </c>
      <c r="K138" t="s">
        <v>25</v>
      </c>
      <c r="M138">
        <v>126</v>
      </c>
      <c r="N138">
        <v>1</v>
      </c>
      <c r="O138">
        <f>M138*N138</f>
        <v>126</v>
      </c>
      <c r="Q138" s="169">
        <v>3195995</v>
      </c>
      <c r="R138" s="213" t="s">
        <v>5136</v>
      </c>
      <c r="S138" s="213">
        <f>S137-7</f>
        <v>-9</v>
      </c>
      <c r="T138" s="213" t="s">
        <v>5137</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148</v>
      </c>
      <c r="AM138" s="79">
        <f t="shared" si="32"/>
        <v>1293439932</v>
      </c>
      <c r="AN138" s="121" t="s">
        <v>4654</v>
      </c>
    </row>
    <row r="139" spans="7:43">
      <c r="G139" s="99"/>
      <c r="H139" s="99"/>
      <c r="I139" s="99" t="s">
        <v>916</v>
      </c>
      <c r="J139" s="99" t="s">
        <v>6</v>
      </c>
      <c r="L139">
        <v>821</v>
      </c>
      <c r="M139">
        <v>590</v>
      </c>
      <c r="N139">
        <v>0</v>
      </c>
      <c r="O139" s="96">
        <f>M139*N139</f>
        <v>0</v>
      </c>
      <c r="Q139" s="169">
        <v>55208153</v>
      </c>
      <c r="R139" s="213" t="s">
        <v>5136</v>
      </c>
      <c r="S139" s="213">
        <f>S138</f>
        <v>-9</v>
      </c>
      <c r="T139" s="213" t="s">
        <v>5138</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146</v>
      </c>
      <c r="AM139" s="79">
        <f t="shared" si="32"/>
        <v>2568910588</v>
      </c>
      <c r="AN139" s="121" t="s">
        <v>4706</v>
      </c>
      <c r="AQ139" t="s">
        <v>25</v>
      </c>
    </row>
    <row r="140" spans="7:43">
      <c r="Q140" s="169">
        <v>29111</v>
      </c>
      <c r="R140" s="213" t="s">
        <v>5136</v>
      </c>
      <c r="S140" s="213">
        <f>S139</f>
        <v>-9</v>
      </c>
      <c r="T140" s="213" t="s">
        <v>5140</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145</v>
      </c>
      <c r="AM140" s="79">
        <f t="shared" si="32"/>
        <v>1933619805</v>
      </c>
      <c r="AN140" s="121" t="s">
        <v>4668</v>
      </c>
    </row>
    <row r="141" spans="7:43">
      <c r="O141">
        <f>O137+O138+O139</f>
        <v>834</v>
      </c>
      <c r="Q141" s="169">
        <v>1104645</v>
      </c>
      <c r="R141" s="213" t="s">
        <v>5143</v>
      </c>
      <c r="S141" s="213">
        <f>S140-3</f>
        <v>-12</v>
      </c>
      <c r="T141" s="213" t="s">
        <v>5144</v>
      </c>
      <c r="U141" s="213">
        <v>682.3</v>
      </c>
      <c r="V141" s="99">
        <f t="shared" si="34"/>
        <v>686.39006136986302</v>
      </c>
      <c r="W141" s="32">
        <f t="shared" si="28"/>
        <v>700.11786259726034</v>
      </c>
      <c r="X141" s="32">
        <f t="shared" si="29"/>
        <v>713.84566382465755</v>
      </c>
      <c r="Y141" t="s">
        <v>25</v>
      </c>
      <c r="AA141" t="s">
        <v>25</v>
      </c>
      <c r="AH141" s="161">
        <v>121</v>
      </c>
      <c r="AI141" s="228" t="s">
        <v>4761</v>
      </c>
      <c r="AJ141" s="228">
        <v>50000000</v>
      </c>
      <c r="AK141" s="161">
        <v>11</v>
      </c>
      <c r="AL141" s="161">
        <f t="shared" si="35"/>
        <v>132</v>
      </c>
      <c r="AM141" s="228">
        <f t="shared" si="32"/>
        <v>6600000000</v>
      </c>
      <c r="AN141" s="161" t="s">
        <v>4763</v>
      </c>
      <c r="AP141" t="s">
        <v>25</v>
      </c>
    </row>
    <row r="142" spans="7:43">
      <c r="Q142" s="169">
        <v>105201</v>
      </c>
      <c r="R142" s="213" t="s">
        <v>5145</v>
      </c>
      <c r="S142" s="213">
        <f>S141-1</f>
        <v>-13</v>
      </c>
      <c r="T142" s="213" t="s">
        <v>5146</v>
      </c>
      <c r="U142" s="213">
        <v>5210</v>
      </c>
      <c r="V142" s="99">
        <f t="shared" si="34"/>
        <v>5237.2347397260282</v>
      </c>
      <c r="W142" s="32">
        <f t="shared" si="28"/>
        <v>5341.9794345205491</v>
      </c>
      <c r="X142" s="32">
        <f t="shared" si="29"/>
        <v>5446.7241293150691</v>
      </c>
      <c r="Y142" t="s">
        <v>25</v>
      </c>
      <c r="AH142" s="20">
        <v>122</v>
      </c>
      <c r="AI142" s="117" t="s">
        <v>974</v>
      </c>
      <c r="AJ142" s="117">
        <v>30000</v>
      </c>
      <c r="AK142" s="20">
        <v>3</v>
      </c>
      <c r="AL142" s="20">
        <f t="shared" si="35"/>
        <v>121</v>
      </c>
      <c r="AM142" s="117">
        <f t="shared" si="32"/>
        <v>3630000</v>
      </c>
      <c r="AN142" s="20"/>
    </row>
    <row r="143" spans="7:43">
      <c r="Q143" s="169"/>
      <c r="R143" s="168"/>
      <c r="S143" s="168"/>
      <c r="T143" s="168"/>
      <c r="U143" s="168"/>
      <c r="V143" s="99">
        <f t="shared" si="34"/>
        <v>0</v>
      </c>
      <c r="W143" s="32">
        <f t="shared" si="28"/>
        <v>0</v>
      </c>
      <c r="X143" s="32">
        <f t="shared" si="29"/>
        <v>0</v>
      </c>
      <c r="Y143" t="s">
        <v>25</v>
      </c>
      <c r="AH143" s="20">
        <v>123</v>
      </c>
      <c r="AI143" s="117" t="s">
        <v>4827</v>
      </c>
      <c r="AJ143" s="117">
        <v>600000</v>
      </c>
      <c r="AK143" s="20">
        <v>1</v>
      </c>
      <c r="AL143" s="20">
        <f t="shared" si="35"/>
        <v>118</v>
      </c>
      <c r="AM143" s="117">
        <f t="shared" si="32"/>
        <v>70800000</v>
      </c>
      <c r="AN143" s="20"/>
    </row>
    <row r="144" spans="7:43">
      <c r="Q144" s="113">
        <f>SUM(N46:N53)-SUM(Q93:Q143)</f>
        <v>116052884.39999998</v>
      </c>
      <c r="R144" s="112"/>
      <c r="S144" s="112"/>
      <c r="T144" s="112"/>
      <c r="U144" s="168"/>
      <c r="V144" s="99" t="s">
        <v>25</v>
      </c>
      <c r="W144" s="32"/>
      <c r="X144" s="32"/>
      <c r="Y144" t="s">
        <v>25</v>
      </c>
      <c r="AH144" s="20">
        <v>124</v>
      </c>
      <c r="AI144" s="117" t="s">
        <v>4834</v>
      </c>
      <c r="AJ144" s="117">
        <v>30000</v>
      </c>
      <c r="AK144" s="20">
        <v>3</v>
      </c>
      <c r="AL144" s="20">
        <f t="shared" si="35"/>
        <v>117</v>
      </c>
      <c r="AM144" s="117">
        <f t="shared" si="32"/>
        <v>3510000</v>
      </c>
      <c r="AN144" s="20"/>
    </row>
    <row r="145" spans="6:44">
      <c r="Q145" s="26"/>
      <c r="R145" s="181"/>
      <c r="S145" s="181"/>
      <c r="T145" t="s">
        <v>25</v>
      </c>
      <c r="U145" s="96" t="s">
        <v>25</v>
      </c>
      <c r="V145" s="96" t="s">
        <v>25</v>
      </c>
      <c r="W145" s="96" t="s">
        <v>25</v>
      </c>
      <c r="AH145" s="20">
        <v>125</v>
      </c>
      <c r="AI145" s="117" t="s">
        <v>4841</v>
      </c>
      <c r="AJ145" s="117">
        <v>2250000</v>
      </c>
      <c r="AK145" s="20">
        <v>1</v>
      </c>
      <c r="AL145" s="20">
        <f t="shared" si="35"/>
        <v>114</v>
      </c>
      <c r="AM145" s="117">
        <f t="shared" ref="AM145:AM147" si="36">AJ145*AL145</f>
        <v>256500000</v>
      </c>
      <c r="AN145" s="20"/>
      <c r="AR145" t="s">
        <v>25</v>
      </c>
    </row>
    <row r="146" spans="6:44">
      <c r="P146" s="114"/>
      <c r="R146" s="32" t="s">
        <v>4570</v>
      </c>
      <c r="S146" s="32" t="s">
        <v>950</v>
      </c>
      <c r="T146" t="s">
        <v>25</v>
      </c>
      <c r="U146" s="96" t="s">
        <v>25</v>
      </c>
      <c r="V146" s="96" t="s">
        <v>25</v>
      </c>
      <c r="W146" s="96" t="s">
        <v>25</v>
      </c>
      <c r="X146" s="122" t="s">
        <v>25</v>
      </c>
      <c r="AH146" s="23">
        <v>126</v>
      </c>
      <c r="AI146" s="35" t="s">
        <v>4846</v>
      </c>
      <c r="AJ146" s="35">
        <v>-31412200</v>
      </c>
      <c r="AK146" s="23">
        <v>1</v>
      </c>
      <c r="AL146" s="20">
        <f t="shared" si="35"/>
        <v>113</v>
      </c>
      <c r="AM146" s="35">
        <f t="shared" si="36"/>
        <v>-3549578600</v>
      </c>
      <c r="AN146" s="23" t="s">
        <v>4829</v>
      </c>
    </row>
    <row r="147" spans="6:44">
      <c r="R147" s="32">
        <v>232104</v>
      </c>
      <c r="S147" s="234">
        <v>48637534</v>
      </c>
      <c r="U147" s="96" t="s">
        <v>25</v>
      </c>
      <c r="V147" s="122" t="s">
        <v>25</v>
      </c>
      <c r="W147" s="96" t="s">
        <v>25</v>
      </c>
      <c r="X147" t="s">
        <v>25</v>
      </c>
      <c r="Z147" s="96"/>
      <c r="AH147" s="20">
        <v>127</v>
      </c>
      <c r="AI147" s="117" t="s">
        <v>4855</v>
      </c>
      <c r="AJ147" s="117">
        <v>70000</v>
      </c>
      <c r="AK147" s="20">
        <v>9</v>
      </c>
      <c r="AL147" s="20">
        <f t="shared" si="35"/>
        <v>112</v>
      </c>
      <c r="AM147" s="117">
        <f t="shared" si="36"/>
        <v>7840000</v>
      </c>
      <c r="AN147" s="20"/>
    </row>
    <row r="148" spans="6:44">
      <c r="F148" t="s">
        <v>4830</v>
      </c>
      <c r="G148">
        <v>1200</v>
      </c>
      <c r="H148" t="s">
        <v>4831</v>
      </c>
      <c r="Q148" t="s">
        <v>25</v>
      </c>
      <c r="R148" s="32">
        <v>25529</v>
      </c>
      <c r="S148" s="1">
        <f>S147*R148/R147</f>
        <v>5349617.4365198361</v>
      </c>
      <c r="U148" s="96" t="s">
        <v>25</v>
      </c>
      <c r="V148" s="122" t="s">
        <v>25</v>
      </c>
      <c r="W148" s="96" t="s">
        <v>25</v>
      </c>
      <c r="X148" t="s">
        <v>25</v>
      </c>
      <c r="Z148" s="96"/>
      <c r="AH148" s="99">
        <v>128</v>
      </c>
      <c r="AI148" s="113" t="s">
        <v>4864</v>
      </c>
      <c r="AJ148" s="113">
        <v>20000</v>
      </c>
      <c r="AK148" s="99">
        <v>10</v>
      </c>
      <c r="AL148" s="20">
        <f t="shared" si="35"/>
        <v>103</v>
      </c>
      <c r="AM148" s="117">
        <f t="shared" ref="AM148:AM149" si="37">AJ148*AL148</f>
        <v>2060000</v>
      </c>
      <c r="AN148" s="20"/>
      <c r="AP148" t="s">
        <v>25</v>
      </c>
    </row>
    <row r="149" spans="6:44">
      <c r="G149">
        <v>1350</v>
      </c>
      <c r="H149" t="s">
        <v>4832</v>
      </c>
      <c r="R149" s="32">
        <f>R147-R148</f>
        <v>206575</v>
      </c>
      <c r="S149" s="1">
        <f>R149*S147/R147</f>
        <v>43287916.563480161</v>
      </c>
      <c r="T149" t="s">
        <v>25</v>
      </c>
      <c r="U149" s="122" t="s">
        <v>25</v>
      </c>
      <c r="V149" s="96"/>
      <c r="W149"/>
      <c r="X149" t="s">
        <v>25</v>
      </c>
      <c r="Z149" s="96"/>
      <c r="AH149" s="99">
        <v>129</v>
      </c>
      <c r="AI149" s="113" t="s">
        <v>4885</v>
      </c>
      <c r="AJ149" s="113">
        <v>1000000</v>
      </c>
      <c r="AK149" s="99">
        <v>1</v>
      </c>
      <c r="AL149" s="20">
        <f t="shared" si="35"/>
        <v>93</v>
      </c>
      <c r="AM149" s="117">
        <f t="shared" si="37"/>
        <v>93000000</v>
      </c>
      <c r="AN149" s="20"/>
    </row>
    <row r="150" spans="6:44">
      <c r="G150">
        <v>1050</v>
      </c>
      <c r="H150" t="s">
        <v>4833</v>
      </c>
      <c r="V150" s="96"/>
      <c r="W150"/>
      <c r="X150" t="s">
        <v>25</v>
      </c>
      <c r="Y150" t="s">
        <v>25</v>
      </c>
      <c r="Z150" s="96"/>
      <c r="AA150" s="114"/>
      <c r="AC150" s="114"/>
      <c r="AD150" s="114"/>
      <c r="AH150" s="99">
        <v>130</v>
      </c>
      <c r="AI150" s="113" t="s">
        <v>4886</v>
      </c>
      <c r="AJ150" s="113">
        <v>65630227</v>
      </c>
      <c r="AK150" s="99">
        <v>0</v>
      </c>
      <c r="AL150" s="20">
        <f t="shared" si="35"/>
        <v>92</v>
      </c>
      <c r="AM150" s="117">
        <f t="shared" ref="AM150:AM179" si="38">AJ150*AL150</f>
        <v>6037980884</v>
      </c>
      <c r="AN150" s="20" t="s">
        <v>4890</v>
      </c>
      <c r="AP150" t="s">
        <v>25</v>
      </c>
      <c r="AR150" t="s">
        <v>25</v>
      </c>
    </row>
    <row r="151" spans="6:44">
      <c r="Q151" s="99" t="s">
        <v>4460</v>
      </c>
      <c r="R151" s="99" t="s">
        <v>4462</v>
      </c>
      <c r="S151" s="99"/>
      <c r="T151" s="99" t="s">
        <v>4463</v>
      </c>
      <c r="U151" s="99"/>
      <c r="V151" s="99"/>
      <c r="W151" s="99" t="s">
        <v>4573</v>
      </c>
      <c r="Z151" s="96"/>
      <c r="AA151" s="114"/>
      <c r="AC151" s="114"/>
      <c r="AH151" s="99">
        <v>131</v>
      </c>
      <c r="AI151" s="113" t="s">
        <v>4886</v>
      </c>
      <c r="AJ151" s="113">
        <v>-3500000</v>
      </c>
      <c r="AK151" s="99">
        <v>6</v>
      </c>
      <c r="AL151" s="20">
        <f t="shared" si="35"/>
        <v>92</v>
      </c>
      <c r="AM151" s="117">
        <f t="shared" si="38"/>
        <v>-322000000</v>
      </c>
      <c r="AN151" s="20" t="s">
        <v>4889</v>
      </c>
    </row>
    <row r="152" spans="6:44">
      <c r="Q152" s="113">
        <v>1000</v>
      </c>
      <c r="R152" s="99">
        <v>0.25</v>
      </c>
      <c r="S152" s="99"/>
      <c r="T152" s="99">
        <f>1-R152</f>
        <v>0.75</v>
      </c>
      <c r="U152" s="99"/>
      <c r="V152" s="99"/>
      <c r="W152" s="99"/>
      <c r="Z152" s="96"/>
      <c r="AA152" s="114"/>
      <c r="AC152" s="114"/>
      <c r="AD152" s="114"/>
      <c r="AH152" s="99">
        <v>132</v>
      </c>
      <c r="AI152" s="113" t="s">
        <v>4901</v>
      </c>
      <c r="AJ152" s="113">
        <v>2520000</v>
      </c>
      <c r="AK152" s="99">
        <v>12</v>
      </c>
      <c r="AL152" s="20">
        <f t="shared" si="35"/>
        <v>86</v>
      </c>
      <c r="AM152" s="117">
        <f t="shared" si="38"/>
        <v>216720000</v>
      </c>
      <c r="AN152" s="20"/>
    </row>
    <row r="153" spans="6:44">
      <c r="P153">
        <f>R155+27344</f>
        <v>1727206</v>
      </c>
      <c r="Q153" s="168" t="s">
        <v>4447</v>
      </c>
      <c r="R153" s="168" t="s">
        <v>4465</v>
      </c>
      <c r="S153" s="168" t="s">
        <v>4467</v>
      </c>
      <c r="T153" s="168"/>
      <c r="U153" s="168" t="s">
        <v>4461</v>
      </c>
      <c r="V153" s="56" t="s">
        <v>4464</v>
      </c>
      <c r="W153" s="99"/>
      <c r="X153" s="115"/>
      <c r="Y153" s="96"/>
      <c r="Z153" s="96"/>
      <c r="AH153" s="99">
        <v>133</v>
      </c>
      <c r="AI153" s="113" t="s">
        <v>4938</v>
      </c>
      <c r="AJ153" s="113">
        <v>1400000</v>
      </c>
      <c r="AK153" s="99">
        <v>4</v>
      </c>
      <c r="AL153" s="20">
        <f t="shared" si="35"/>
        <v>74</v>
      </c>
      <c r="AM153" s="117">
        <f t="shared" si="38"/>
        <v>103600000</v>
      </c>
      <c r="AN153" s="20"/>
    </row>
    <row r="154" spans="6:44">
      <c r="Q154" s="168" t="s">
        <v>751</v>
      </c>
      <c r="R154" s="56">
        <v>1748044</v>
      </c>
      <c r="S154" s="113">
        <f>R154*$T$260</f>
        <v>649108720.34869182</v>
      </c>
      <c r="T154" s="168"/>
      <c r="U154" s="168">
        <f>$Q$152*$T$152*S154/$R$181</f>
        <v>354.55364145279492</v>
      </c>
      <c r="V154" s="95">
        <f>S154+U154</f>
        <v>649109074.90233326</v>
      </c>
      <c r="W154" s="99">
        <f>R154*100/U257</f>
        <v>47.273818860372664</v>
      </c>
      <c r="X154" s="217"/>
      <c r="Y154" s="96"/>
      <c r="Z154" s="96"/>
      <c r="AH154" s="99">
        <v>134</v>
      </c>
      <c r="AI154" s="113" t="s">
        <v>4965</v>
      </c>
      <c r="AJ154" s="113">
        <v>1550000</v>
      </c>
      <c r="AK154" s="99">
        <v>2</v>
      </c>
      <c r="AL154" s="20">
        <f t="shared" si="35"/>
        <v>70</v>
      </c>
      <c r="AM154" s="117">
        <f t="shared" si="38"/>
        <v>108500000</v>
      </c>
      <c r="AN154" s="20"/>
    </row>
    <row r="155" spans="6:44">
      <c r="Q155" s="168" t="s">
        <v>4449</v>
      </c>
      <c r="R155" s="56">
        <v>1699862</v>
      </c>
      <c r="S155" s="113">
        <f>R155*$T$260</f>
        <v>631217090.41040611</v>
      </c>
      <c r="T155" s="168"/>
      <c r="U155" s="213">
        <f>$Q$152*$T$152*S155/$R$181</f>
        <v>344.78094491170179</v>
      </c>
      <c r="V155" s="95">
        <f t="shared" ref="V155:V156" si="39">S155+U155</f>
        <v>631217435.19135106</v>
      </c>
      <c r="W155" s="99">
        <f>R155*100/U257</f>
        <v>45.970792654893586</v>
      </c>
      <c r="X155" s="115"/>
      <c r="Y155" s="96"/>
      <c r="Z155" s="96"/>
      <c r="AH155" s="99">
        <v>135</v>
      </c>
      <c r="AI155" s="113" t="s">
        <v>4910</v>
      </c>
      <c r="AJ155" s="113">
        <v>250000</v>
      </c>
      <c r="AK155" s="99">
        <v>6</v>
      </c>
      <c r="AL155" s="20">
        <f t="shared" si="35"/>
        <v>68</v>
      </c>
      <c r="AM155" s="117">
        <f t="shared" si="38"/>
        <v>17000000</v>
      </c>
      <c r="AN155" s="20"/>
    </row>
    <row r="156" spans="6:44">
      <c r="Q156" s="168" t="s">
        <v>4448</v>
      </c>
      <c r="R156" s="56">
        <v>52617</v>
      </c>
      <c r="S156" s="113">
        <f>R156*$T$260</f>
        <v>19538497.622821346</v>
      </c>
      <c r="T156" s="168"/>
      <c r="U156" s="213">
        <f>$Q$152*$T$152*S156/$R$181</f>
        <v>10.672242204613678</v>
      </c>
      <c r="V156" s="95">
        <f t="shared" si="39"/>
        <v>19538508.295063552</v>
      </c>
      <c r="W156" s="99">
        <f>R156*100/U257</f>
        <v>1.4229656272818239</v>
      </c>
      <c r="X156" s="115"/>
      <c r="Y156" s="96"/>
      <c r="Z156" s="96"/>
      <c r="AH156" s="99">
        <v>136</v>
      </c>
      <c r="AI156" s="113" t="s">
        <v>4975</v>
      </c>
      <c r="AJ156" s="113">
        <v>-48527480</v>
      </c>
      <c r="AK156" s="99">
        <v>14</v>
      </c>
      <c r="AL156" s="20">
        <f t="shared" si="35"/>
        <v>62</v>
      </c>
      <c r="AM156" s="117">
        <f t="shared" si="38"/>
        <v>-3008703760</v>
      </c>
      <c r="AN156" s="20" t="s">
        <v>4977</v>
      </c>
    </row>
    <row r="157" spans="6:44">
      <c r="Q157" s="168" t="s">
        <v>1087</v>
      </c>
      <c r="R157" s="56">
        <v>197177</v>
      </c>
      <c r="S157" s="113">
        <f>R157*$T$260</f>
        <v>73218586.118080556</v>
      </c>
      <c r="T157" s="168"/>
      <c r="U157" s="213">
        <f>$Q$152*$T$152*S157/$R$181</f>
        <v>39.993171430889468</v>
      </c>
      <c r="V157" s="95">
        <f>S157+U157</f>
        <v>73218626.11125198</v>
      </c>
      <c r="W157" s="99">
        <f>R157*100/U257</f>
        <v>5.3324228574519292</v>
      </c>
      <c r="X157" s="115"/>
      <c r="Y157" s="96"/>
      <c r="Z157" s="96"/>
      <c r="AH157" s="99">
        <v>137</v>
      </c>
      <c r="AI157" s="113" t="s">
        <v>5004</v>
      </c>
      <c r="AJ157" s="113">
        <v>2100000</v>
      </c>
      <c r="AK157" s="99">
        <v>1</v>
      </c>
      <c r="AL157" s="20">
        <f t="shared" si="35"/>
        <v>48</v>
      </c>
      <c r="AM157" s="117">
        <f t="shared" si="38"/>
        <v>100800000</v>
      </c>
      <c r="AN157" s="20"/>
    </row>
    <row r="158" spans="6:44">
      <c r="Q158" s="168"/>
      <c r="R158" s="56"/>
      <c r="S158" s="168"/>
      <c r="T158" s="168"/>
      <c r="U158" s="168"/>
      <c r="V158" s="168"/>
      <c r="W158" s="99"/>
      <c r="X158" s="96"/>
      <c r="Y158" s="96"/>
      <c r="Z158" s="96"/>
      <c r="AH158" s="99">
        <v>138</v>
      </c>
      <c r="AI158" s="113" t="s">
        <v>5009</v>
      </c>
      <c r="AJ158" s="113">
        <v>100000</v>
      </c>
      <c r="AK158" s="99">
        <v>4</v>
      </c>
      <c r="AL158" s="20">
        <f>AL159+AK158</f>
        <v>47</v>
      </c>
      <c r="AM158" s="117">
        <f t="shared" si="38"/>
        <v>4700000</v>
      </c>
      <c r="AN158" s="20"/>
      <c r="AQ158" t="s">
        <v>25</v>
      </c>
    </row>
    <row r="159" spans="6:44">
      <c r="P159" s="114"/>
      <c r="Q159" s="168"/>
      <c r="R159" s="168"/>
      <c r="S159" s="168"/>
      <c r="T159" s="168"/>
      <c r="U159" s="168"/>
      <c r="V159" s="168"/>
      <c r="W159" s="99"/>
      <c r="X159" s="96"/>
      <c r="Y159" s="96"/>
      <c r="Z159" s="96"/>
      <c r="AH159" s="99">
        <v>139</v>
      </c>
      <c r="AI159" s="113" t="s">
        <v>5016</v>
      </c>
      <c r="AJ159" s="113">
        <v>900000</v>
      </c>
      <c r="AK159" s="99">
        <v>0</v>
      </c>
      <c r="AL159" s="20">
        <f t="shared" ref="AL159:AL168" si="40">AL160+AK159</f>
        <v>43</v>
      </c>
      <c r="AM159" s="117">
        <f t="shared" ref="AM159:AM168" si="41">AJ159*AL159</f>
        <v>38700000</v>
      </c>
      <c r="AN159" s="20"/>
      <c r="AP159" t="s">
        <v>25</v>
      </c>
    </row>
    <row r="160" spans="6:44">
      <c r="P160" s="114"/>
      <c r="Q160" s="99"/>
      <c r="R160" s="99"/>
      <c r="S160" s="99"/>
      <c r="T160" s="99" t="s">
        <v>25</v>
      </c>
      <c r="U160" s="99"/>
      <c r="V160" s="99"/>
      <c r="W160" s="99"/>
      <c r="X160" s="96"/>
      <c r="Y160" s="96"/>
      <c r="AH160" s="99">
        <v>140</v>
      </c>
      <c r="AI160" s="113" t="s">
        <v>5016</v>
      </c>
      <c r="AJ160" s="113">
        <v>1100000</v>
      </c>
      <c r="AK160" s="99">
        <v>0</v>
      </c>
      <c r="AL160" s="20">
        <f t="shared" si="40"/>
        <v>43</v>
      </c>
      <c r="AM160" s="117">
        <f t="shared" si="41"/>
        <v>47300000</v>
      </c>
      <c r="AN160" s="20" t="s">
        <v>5036</v>
      </c>
      <c r="AQ160" t="s">
        <v>25</v>
      </c>
    </row>
    <row r="161" spans="15:43">
      <c r="P161" s="114"/>
      <c r="Q161" s="99"/>
      <c r="R161" s="99"/>
      <c r="S161" s="99"/>
      <c r="T161" s="99"/>
      <c r="U161" s="99"/>
      <c r="V161" s="99"/>
      <c r="W161" s="99"/>
      <c r="X161" s="96"/>
      <c r="Y161" s="96"/>
      <c r="AH161" s="99">
        <v>141</v>
      </c>
      <c r="AI161" s="113" t="s">
        <v>5016</v>
      </c>
      <c r="AJ161" s="113">
        <v>115000</v>
      </c>
      <c r="AK161" s="99"/>
      <c r="AL161" s="20">
        <f t="shared" si="40"/>
        <v>43</v>
      </c>
      <c r="AM161" s="117">
        <f t="shared" si="41"/>
        <v>4945000</v>
      </c>
      <c r="AN161" s="20"/>
      <c r="AQ161" t="s">
        <v>25</v>
      </c>
    </row>
    <row r="162" spans="15:43">
      <c r="Q162" s="99"/>
      <c r="R162" s="99"/>
      <c r="S162" s="99"/>
      <c r="T162" s="99"/>
      <c r="U162" s="99"/>
      <c r="V162" s="99"/>
      <c r="W162" s="99"/>
      <c r="X162" s="96"/>
      <c r="Y162" s="96"/>
      <c r="AH162" s="99">
        <v>142</v>
      </c>
      <c r="AI162" s="113" t="s">
        <v>5026</v>
      </c>
      <c r="AJ162" s="113">
        <v>-1100000</v>
      </c>
      <c r="AK162" s="99"/>
      <c r="AL162" s="20">
        <f t="shared" si="40"/>
        <v>43</v>
      </c>
      <c r="AM162" s="117">
        <f t="shared" si="41"/>
        <v>-47300000</v>
      </c>
      <c r="AN162" s="20" t="s">
        <v>5037</v>
      </c>
      <c r="AQ162" t="s">
        <v>25</v>
      </c>
    </row>
    <row r="163" spans="15:43">
      <c r="Q163" s="96"/>
      <c r="R163" s="96"/>
      <c r="S163" s="96"/>
      <c r="T163" s="96"/>
      <c r="V163" s="96"/>
      <c r="X163" s="115"/>
      <c r="Y163" s="96"/>
      <c r="AH163" s="99">
        <v>143</v>
      </c>
      <c r="AI163" s="113" t="s">
        <v>5026</v>
      </c>
      <c r="AJ163" s="113">
        <v>900000</v>
      </c>
      <c r="AK163" s="99">
        <v>1</v>
      </c>
      <c r="AL163" s="20">
        <f t="shared" si="40"/>
        <v>43</v>
      </c>
      <c r="AM163" s="117">
        <f t="shared" si="41"/>
        <v>38700000</v>
      </c>
      <c r="AN163" s="20" t="s">
        <v>5036</v>
      </c>
    </row>
    <row r="164" spans="15:43">
      <c r="Q164" s="99" t="s">
        <v>5073</v>
      </c>
      <c r="R164" s="95">
        <f>S154-R169</f>
        <v>169350310.2486918</v>
      </c>
      <c r="S164" s="96"/>
      <c r="T164" s="96"/>
      <c r="V164" s="96"/>
      <c r="Y164" s="96"/>
      <c r="AH164" s="99">
        <v>144</v>
      </c>
      <c r="AI164" s="113" t="s">
        <v>5034</v>
      </c>
      <c r="AJ164" s="113">
        <v>2000000</v>
      </c>
      <c r="AK164" s="99">
        <v>0</v>
      </c>
      <c r="AL164" s="20">
        <f t="shared" si="40"/>
        <v>42</v>
      </c>
      <c r="AM164" s="117">
        <f t="shared" si="41"/>
        <v>84000000</v>
      </c>
      <c r="AN164" s="20"/>
    </row>
    <row r="165" spans="15:43">
      <c r="P165" s="114"/>
      <c r="Q165" s="99" t="s">
        <v>5074</v>
      </c>
      <c r="R165" s="95">
        <f>S157+S156-R170</f>
        <v>14244909.740901902</v>
      </c>
      <c r="S165" s="96"/>
      <c r="T165" s="96" t="s">
        <v>25</v>
      </c>
      <c r="V165" s="96"/>
      <c r="Y165" s="96"/>
      <c r="AH165" s="99">
        <v>145</v>
      </c>
      <c r="AI165" s="113" t="s">
        <v>5034</v>
      </c>
      <c r="AJ165" s="113">
        <v>360000</v>
      </c>
      <c r="AK165" s="99">
        <v>1</v>
      </c>
      <c r="AL165" s="20">
        <f t="shared" si="40"/>
        <v>42</v>
      </c>
      <c r="AM165" s="117">
        <f t="shared" si="41"/>
        <v>15120000</v>
      </c>
      <c r="AN165" s="20"/>
    </row>
    <row r="166" spans="15:43">
      <c r="Q166" s="96"/>
      <c r="R166" s="96"/>
      <c r="S166" s="96"/>
      <c r="T166" s="96"/>
      <c r="V166" s="96"/>
      <c r="Y166" t="s">
        <v>25</v>
      </c>
      <c r="AH166" s="99">
        <v>146</v>
      </c>
      <c r="AI166" s="113" t="s">
        <v>5035</v>
      </c>
      <c r="AJ166" s="113">
        <v>3000000</v>
      </c>
      <c r="AK166" s="99">
        <v>1</v>
      </c>
      <c r="AL166" s="20">
        <f t="shared" si="40"/>
        <v>41</v>
      </c>
      <c r="AM166" s="117">
        <f t="shared" si="41"/>
        <v>123000000</v>
      </c>
      <c r="AN166" s="20"/>
    </row>
    <row r="167" spans="15:43">
      <c r="P167" s="114"/>
      <c r="Q167" s="96"/>
      <c r="R167" s="96"/>
      <c r="S167" s="96"/>
      <c r="T167" s="99" t="s">
        <v>180</v>
      </c>
      <c r="U167" s="99" t="s">
        <v>4483</v>
      </c>
      <c r="V167" s="99" t="s">
        <v>4484</v>
      </c>
      <c r="W167" s="99" t="s">
        <v>4494</v>
      </c>
      <c r="X167" s="99" t="s">
        <v>8</v>
      </c>
      <c r="AH167" s="99">
        <v>147</v>
      </c>
      <c r="AI167" s="113" t="s">
        <v>5031</v>
      </c>
      <c r="AJ167" s="113">
        <v>-658226</v>
      </c>
      <c r="AK167" s="99">
        <v>1</v>
      </c>
      <c r="AL167" s="20">
        <f t="shared" si="40"/>
        <v>40</v>
      </c>
      <c r="AM167" s="117">
        <f t="shared" si="41"/>
        <v>-26329040</v>
      </c>
      <c r="AN167" s="20"/>
    </row>
    <row r="168" spans="15:43">
      <c r="O168" s="96"/>
      <c r="Q168" s="36" t="s">
        <v>4569</v>
      </c>
      <c r="R168" s="95">
        <f>SUM(N46:N53)</f>
        <v>758542642.39999998</v>
      </c>
      <c r="T168" s="113" t="s">
        <v>4459</v>
      </c>
      <c r="U168" s="56">
        <v>1000000</v>
      </c>
      <c r="V168" s="113">
        <v>239.024</v>
      </c>
      <c r="W168" s="113">
        <f t="shared" ref="W168:W255" si="42">U168*V168</f>
        <v>239024000</v>
      </c>
      <c r="X168" s="99"/>
      <c r="Y168" t="s">
        <v>25</v>
      </c>
      <c r="AH168" s="99">
        <v>148</v>
      </c>
      <c r="AI168" s="113" t="s">
        <v>5038</v>
      </c>
      <c r="AJ168" s="113">
        <v>1000000</v>
      </c>
      <c r="AK168" s="99">
        <v>15</v>
      </c>
      <c r="AL168" s="20">
        <f t="shared" si="40"/>
        <v>39</v>
      </c>
      <c r="AM168" s="117">
        <f t="shared" si="41"/>
        <v>39000000</v>
      </c>
      <c r="AN168" s="20"/>
      <c r="AP168" t="s">
        <v>25</v>
      </c>
    </row>
    <row r="169" spans="15:43">
      <c r="O169" s="96"/>
      <c r="Q169" s="99" t="s">
        <v>4450</v>
      </c>
      <c r="R169" s="95">
        <f>SUM(N21:N26)</f>
        <v>479758410.10000002</v>
      </c>
      <c r="T169" s="168" t="s">
        <v>4441</v>
      </c>
      <c r="U169" s="56">
        <v>5904</v>
      </c>
      <c r="V169" s="113">
        <v>237.148</v>
      </c>
      <c r="W169" s="113">
        <f t="shared" si="42"/>
        <v>1400121.7919999999</v>
      </c>
      <c r="X169" s="99" t="s">
        <v>751</v>
      </c>
      <c r="AH169" s="99">
        <v>149</v>
      </c>
      <c r="AI169" s="113" t="s">
        <v>5079</v>
      </c>
      <c r="AJ169" s="113">
        <v>1130250</v>
      </c>
      <c r="AK169" s="99">
        <v>5</v>
      </c>
      <c r="AL169" s="20">
        <f t="shared" si="35"/>
        <v>24</v>
      </c>
      <c r="AM169" s="117">
        <f t="shared" si="38"/>
        <v>27126000</v>
      </c>
      <c r="AN169" s="20"/>
    </row>
    <row r="170" spans="15:43">
      <c r="Q170" s="99" t="s">
        <v>4451</v>
      </c>
      <c r="R170" s="95">
        <f>SUM(N29:N33)</f>
        <v>78512174</v>
      </c>
      <c r="T170" s="168" t="s">
        <v>4231</v>
      </c>
      <c r="U170" s="168">
        <v>1000</v>
      </c>
      <c r="V170" s="113">
        <v>247.393</v>
      </c>
      <c r="W170" s="113">
        <f t="shared" si="42"/>
        <v>247393</v>
      </c>
      <c r="X170" s="99" t="s">
        <v>751</v>
      </c>
      <c r="Y170" t="s">
        <v>25</v>
      </c>
      <c r="AE170" s="96" t="s">
        <v>25</v>
      </c>
      <c r="AH170" s="99">
        <v>150</v>
      </c>
      <c r="AI170" s="113" t="s">
        <v>5096</v>
      </c>
      <c r="AJ170" s="113">
        <v>206000</v>
      </c>
      <c r="AK170" s="99">
        <v>2</v>
      </c>
      <c r="AL170" s="20">
        <f t="shared" si="35"/>
        <v>19</v>
      </c>
      <c r="AM170" s="117">
        <f t="shared" si="38"/>
        <v>3914000</v>
      </c>
      <c r="AN170" s="20"/>
    </row>
    <row r="171" spans="15:43">
      <c r="Q171" s="99" t="s">
        <v>4452</v>
      </c>
      <c r="R171" s="95">
        <f>N44</f>
        <v>10000800</v>
      </c>
      <c r="T171" s="168" t="s">
        <v>4495</v>
      </c>
      <c r="U171" s="168">
        <v>8071</v>
      </c>
      <c r="V171" s="113">
        <v>247.797</v>
      </c>
      <c r="W171" s="113">
        <f t="shared" si="42"/>
        <v>1999969.5870000001</v>
      </c>
      <c r="X171" s="99" t="s">
        <v>4448</v>
      </c>
      <c r="AH171" s="99">
        <v>151</v>
      </c>
      <c r="AI171" s="113" t="s">
        <v>5106</v>
      </c>
      <c r="AJ171" s="113">
        <v>50000</v>
      </c>
      <c r="AK171" s="99">
        <v>2</v>
      </c>
      <c r="AL171" s="20">
        <f t="shared" si="35"/>
        <v>17</v>
      </c>
      <c r="AM171" s="117">
        <f t="shared" si="38"/>
        <v>850000</v>
      </c>
      <c r="AN171" s="20"/>
    </row>
    <row r="172" spans="15:43">
      <c r="Q172" s="99" t="s">
        <v>4453</v>
      </c>
      <c r="R172" s="95">
        <f>N20</f>
        <v>2502674</v>
      </c>
      <c r="T172" s="168" t="s">
        <v>4495</v>
      </c>
      <c r="U172" s="168">
        <v>53672</v>
      </c>
      <c r="V172" s="113">
        <v>247.797</v>
      </c>
      <c r="W172" s="113">
        <f t="shared" si="42"/>
        <v>13299760.584000001</v>
      </c>
      <c r="X172" s="99" t="s">
        <v>452</v>
      </c>
      <c r="AH172" s="99">
        <v>152</v>
      </c>
      <c r="AI172" s="113" t="s">
        <v>5114</v>
      </c>
      <c r="AJ172" s="113">
        <v>105000</v>
      </c>
      <c r="AK172" s="99">
        <v>4</v>
      </c>
      <c r="AL172" s="20">
        <f t="shared" si="35"/>
        <v>15</v>
      </c>
      <c r="AM172" s="117">
        <f t="shared" si="38"/>
        <v>1575000</v>
      </c>
      <c r="AN172" s="20"/>
    </row>
    <row r="173" spans="15:43">
      <c r="Q173" s="99" t="s">
        <v>4454</v>
      </c>
      <c r="R173" s="95">
        <f>N28</f>
        <v>2501594</v>
      </c>
      <c r="T173" s="168" t="s">
        <v>4503</v>
      </c>
      <c r="U173" s="168">
        <v>4099</v>
      </c>
      <c r="V173" s="113">
        <v>243.93</v>
      </c>
      <c r="W173" s="113">
        <f t="shared" si="42"/>
        <v>999869.07000000007</v>
      </c>
      <c r="X173" s="99" t="s">
        <v>4448</v>
      </c>
      <c r="AH173" s="99">
        <v>153</v>
      </c>
      <c r="AI173" s="113" t="s">
        <v>5122</v>
      </c>
      <c r="AJ173" s="113">
        <v>5000000</v>
      </c>
      <c r="AK173" s="99">
        <v>1</v>
      </c>
      <c r="AL173" s="20">
        <f t="shared" si="35"/>
        <v>11</v>
      </c>
      <c r="AM173" s="117">
        <f t="shared" si="38"/>
        <v>55000000</v>
      </c>
      <c r="AN173" s="20"/>
    </row>
    <row r="174" spans="15:43">
      <c r="Q174" s="99" t="s">
        <v>4466</v>
      </c>
      <c r="R174" s="95">
        <v>0</v>
      </c>
      <c r="T174" s="168" t="s">
        <v>4503</v>
      </c>
      <c r="U174" s="168">
        <v>9301</v>
      </c>
      <c r="V174" s="113">
        <v>243.93</v>
      </c>
      <c r="W174" s="113">
        <f t="shared" si="42"/>
        <v>2268792.9300000002</v>
      </c>
      <c r="X174" s="99" t="s">
        <v>452</v>
      </c>
      <c r="AH174" s="99">
        <v>154</v>
      </c>
      <c r="AI174" s="113" t="s">
        <v>5125</v>
      </c>
      <c r="AJ174" s="113">
        <v>2500000</v>
      </c>
      <c r="AK174" s="99">
        <v>2</v>
      </c>
      <c r="AL174" s="20">
        <f t="shared" si="35"/>
        <v>10</v>
      </c>
      <c r="AM174" s="117">
        <f t="shared" si="38"/>
        <v>25000000</v>
      </c>
      <c r="AN174" s="20"/>
    </row>
    <row r="175" spans="15:43">
      <c r="Q175" s="99" t="s">
        <v>4939</v>
      </c>
      <c r="R175" s="95">
        <v>0</v>
      </c>
      <c r="T175" s="168" t="s">
        <v>4509</v>
      </c>
      <c r="U175" s="168">
        <v>8334</v>
      </c>
      <c r="V175" s="113">
        <v>239.97</v>
      </c>
      <c r="W175" s="113">
        <f t="shared" si="42"/>
        <v>1999909.98</v>
      </c>
      <c r="X175" s="99" t="s">
        <v>4448</v>
      </c>
      <c r="AH175" s="271">
        <v>155</v>
      </c>
      <c r="AI175" s="267" t="s">
        <v>5136</v>
      </c>
      <c r="AJ175" s="267">
        <v>-50000000</v>
      </c>
      <c r="AK175" s="271">
        <v>7</v>
      </c>
      <c r="AL175" s="271">
        <f t="shared" si="35"/>
        <v>8</v>
      </c>
      <c r="AM175" s="267">
        <f t="shared" si="38"/>
        <v>-400000000</v>
      </c>
      <c r="AN175" s="271" t="s">
        <v>5153</v>
      </c>
    </row>
    <row r="176" spans="15:43">
      <c r="Q176" s="99" t="s">
        <v>5130</v>
      </c>
      <c r="R176" s="95">
        <v>204600</v>
      </c>
      <c r="T176" s="168" t="s">
        <v>4230</v>
      </c>
      <c r="U176" s="168">
        <v>29041</v>
      </c>
      <c r="V176" s="113">
        <v>233.45</v>
      </c>
      <c r="W176" s="113">
        <f t="shared" si="42"/>
        <v>6779621.4499999993</v>
      </c>
      <c r="X176" s="99" t="s">
        <v>751</v>
      </c>
      <c r="AH176" s="99">
        <v>156</v>
      </c>
      <c r="AI176" s="113" t="s">
        <v>5151</v>
      </c>
      <c r="AJ176" s="113">
        <v>10000000</v>
      </c>
      <c r="AK176" s="99">
        <v>1</v>
      </c>
      <c r="AL176" s="20">
        <f t="shared" si="35"/>
        <v>1</v>
      </c>
      <c r="AM176" s="117">
        <f t="shared" si="38"/>
        <v>10000000</v>
      </c>
      <c r="AN176" s="20" t="s">
        <v>4763</v>
      </c>
    </row>
    <row r="177" spans="17:44">
      <c r="Q177" s="99" t="s">
        <v>5131</v>
      </c>
      <c r="R177" s="95">
        <v>24159150</v>
      </c>
      <c r="S177" s="115"/>
      <c r="T177" s="168" t="s">
        <v>994</v>
      </c>
      <c r="U177" s="168">
        <v>12337</v>
      </c>
      <c r="V177" s="113">
        <v>243.16300000000001</v>
      </c>
      <c r="W177" s="113">
        <f t="shared" si="42"/>
        <v>2999901.9310000003</v>
      </c>
      <c r="X177" s="99" t="s">
        <v>4448</v>
      </c>
      <c r="AH177" s="99"/>
      <c r="AI177" s="113"/>
      <c r="AJ177" s="113"/>
      <c r="AK177" s="99"/>
      <c r="AL177" s="20">
        <f t="shared" si="35"/>
        <v>0</v>
      </c>
      <c r="AM177" s="117">
        <f t="shared" si="38"/>
        <v>0</v>
      </c>
      <c r="AN177" s="20"/>
    </row>
    <row r="178" spans="17:44">
      <c r="Q178" s="99" t="s">
        <v>5132</v>
      </c>
      <c r="R178" s="95">
        <v>16266000</v>
      </c>
      <c r="S178" s="122"/>
      <c r="T178" s="168" t="s">
        <v>4590</v>
      </c>
      <c r="U178" s="168">
        <v>-16118</v>
      </c>
      <c r="V178" s="113">
        <v>248.17</v>
      </c>
      <c r="W178" s="113">
        <f t="shared" si="42"/>
        <v>-4000004.0599999996</v>
      </c>
      <c r="X178" s="99" t="s">
        <v>751</v>
      </c>
      <c r="AH178" s="99"/>
      <c r="AI178" s="113"/>
      <c r="AJ178" s="113"/>
      <c r="AK178" s="99"/>
      <c r="AL178" s="20">
        <f t="shared" si="35"/>
        <v>0</v>
      </c>
      <c r="AM178" s="117">
        <f t="shared" si="38"/>
        <v>0</v>
      </c>
      <c r="AN178" s="20"/>
    </row>
    <row r="179" spans="17:44">
      <c r="Q179" s="99" t="s">
        <v>4862</v>
      </c>
      <c r="R179" s="95">
        <v>200000</v>
      </c>
      <c r="S179" s="115"/>
      <c r="T179" s="168" t="s">
        <v>4618</v>
      </c>
      <c r="U179" s="168">
        <v>101681</v>
      </c>
      <c r="V179" s="113">
        <v>246.5711</v>
      </c>
      <c r="W179" s="113">
        <f t="shared" si="42"/>
        <v>25071596.019099999</v>
      </c>
      <c r="X179" s="99" t="s">
        <v>452</v>
      </c>
      <c r="Y179" t="s">
        <v>25</v>
      </c>
      <c r="AH179" s="99"/>
      <c r="AI179" s="113"/>
      <c r="AJ179" s="113"/>
      <c r="AK179" s="99"/>
      <c r="AL179" s="99">
        <f t="shared" si="35"/>
        <v>0</v>
      </c>
      <c r="AM179" s="117">
        <f t="shared" si="38"/>
        <v>0</v>
      </c>
      <c r="AN179" s="99"/>
    </row>
    <row r="180" spans="17:44">
      <c r="Q180" s="99" t="s">
        <v>5129</v>
      </c>
      <c r="R180" s="95">
        <v>434850</v>
      </c>
      <c r="S180" s="115"/>
      <c r="T180" s="168" t="s">
        <v>4622</v>
      </c>
      <c r="U180" s="168">
        <v>66606</v>
      </c>
      <c r="V180" s="113">
        <v>251.131</v>
      </c>
      <c r="W180" s="113">
        <f t="shared" si="42"/>
        <v>16726831.386</v>
      </c>
      <c r="X180" s="99" t="s">
        <v>751</v>
      </c>
      <c r="AH180" s="99"/>
      <c r="AI180" s="99"/>
      <c r="AJ180" s="95">
        <f>SUM(AJ20:AJ179)</f>
        <v>510044657</v>
      </c>
      <c r="AK180" s="99"/>
      <c r="AL180" s="99"/>
      <c r="AM180" s="95">
        <f>SUM(AM20:AM179)</f>
        <v>121005976745</v>
      </c>
      <c r="AN180" s="95">
        <f>AM180*AN183/31</f>
        <v>65058277.884158552</v>
      </c>
    </row>
    <row r="181" spans="17:44">
      <c r="Q181" s="99" t="s">
        <v>4458</v>
      </c>
      <c r="R181" s="95">
        <f>SUM(R168:R180)</f>
        <v>1373082894.5</v>
      </c>
      <c r="T181" s="168" t="s">
        <v>4627</v>
      </c>
      <c r="U181" s="168">
        <v>172025</v>
      </c>
      <c r="V181" s="113">
        <v>245.52809999999999</v>
      </c>
      <c r="W181" s="113">
        <f t="shared" si="42"/>
        <v>42236971.402499996</v>
      </c>
      <c r="X181" s="99" t="s">
        <v>452</v>
      </c>
      <c r="Y181" t="s">
        <v>25</v>
      </c>
      <c r="AH181" s="99"/>
      <c r="AI181" s="99"/>
      <c r="AJ181" s="99" t="s">
        <v>4059</v>
      </c>
      <c r="AK181" s="99"/>
      <c r="AL181" s="99"/>
      <c r="AM181" s="99" t="s">
        <v>284</v>
      </c>
      <c r="AN181" s="99" t="s">
        <v>943</v>
      </c>
    </row>
    <row r="182" spans="17:44">
      <c r="Q182" s="96"/>
      <c r="T182" s="168" t="s">
        <v>4627</v>
      </c>
      <c r="U182" s="168">
        <v>189227</v>
      </c>
      <c r="V182" s="113">
        <v>245.52809999999999</v>
      </c>
      <c r="W182" s="113">
        <f t="shared" si="42"/>
        <v>46460545.778700002</v>
      </c>
      <c r="X182" s="99" t="s">
        <v>751</v>
      </c>
      <c r="Y182" t="s">
        <v>25</v>
      </c>
      <c r="AH182" s="99"/>
      <c r="AI182" s="99"/>
      <c r="AJ182" s="99"/>
      <c r="AK182" s="99"/>
      <c r="AL182" s="99"/>
      <c r="AM182" s="99"/>
      <c r="AN182" s="99"/>
    </row>
    <row r="183" spans="17:44">
      <c r="T183" s="168" t="s">
        <v>4628</v>
      </c>
      <c r="U183" s="168">
        <v>79720</v>
      </c>
      <c r="V183" s="113">
        <v>246.6568</v>
      </c>
      <c r="W183" s="113">
        <f t="shared" si="42"/>
        <v>19663480.096000001</v>
      </c>
      <c r="X183" s="99" t="s">
        <v>452</v>
      </c>
      <c r="AH183" s="99"/>
      <c r="AI183" s="99"/>
      <c r="AJ183" s="99"/>
      <c r="AK183" s="99"/>
      <c r="AL183" s="99"/>
      <c r="AM183" s="99" t="s">
        <v>4060</v>
      </c>
      <c r="AN183" s="99">
        <v>1.6667000000000001E-2</v>
      </c>
    </row>
    <row r="184" spans="17:44">
      <c r="Q184" s="99" t="s">
        <v>8</v>
      </c>
      <c r="R184" s="99" t="s">
        <v>4448</v>
      </c>
      <c r="S184" s="99"/>
      <c r="T184" s="168" t="s">
        <v>4628</v>
      </c>
      <c r="U184" s="168">
        <v>79720</v>
      </c>
      <c r="V184" s="113">
        <v>246.6568</v>
      </c>
      <c r="W184" s="113">
        <f t="shared" si="42"/>
        <v>19663480.096000001</v>
      </c>
      <c r="X184" s="99" t="s">
        <v>751</v>
      </c>
      <c r="AH184" s="99"/>
      <c r="AI184" s="99"/>
      <c r="AJ184" s="99"/>
      <c r="AK184" s="99"/>
      <c r="AL184" s="99"/>
      <c r="AM184" s="99"/>
      <c r="AN184" s="99"/>
      <c r="AR184" t="s">
        <v>25</v>
      </c>
    </row>
    <row r="185" spans="17:44">
      <c r="Q185" s="99"/>
      <c r="R185" s="36" t="s">
        <v>180</v>
      </c>
      <c r="S185" s="99" t="s">
        <v>267</v>
      </c>
      <c r="T185" s="168" t="s">
        <v>4652</v>
      </c>
      <c r="U185" s="168">
        <v>17769</v>
      </c>
      <c r="V185" s="113">
        <v>246.17877999999999</v>
      </c>
      <c r="W185" s="113">
        <f t="shared" si="42"/>
        <v>4374350.7418200001</v>
      </c>
      <c r="X185" s="99" t="s">
        <v>751</v>
      </c>
      <c r="AH185" s="99"/>
      <c r="AI185" s="99" t="s">
        <v>4061</v>
      </c>
      <c r="AJ185" s="95">
        <f>AJ180+AN180</f>
        <v>575102934.88415861</v>
      </c>
      <c r="AK185" s="99"/>
      <c r="AL185" s="99"/>
      <c r="AM185" s="99"/>
      <c r="AN185" s="99"/>
    </row>
    <row r="186" spans="17:44">
      <c r="Q186" s="99"/>
      <c r="R186" s="99" t="s">
        <v>4441</v>
      </c>
      <c r="S186" s="95">
        <v>3000000</v>
      </c>
      <c r="T186" s="168" t="s">
        <v>4652</v>
      </c>
      <c r="U186" s="168">
        <v>17769</v>
      </c>
      <c r="V186" s="113">
        <v>246.17877999999999</v>
      </c>
      <c r="W186" s="113">
        <f t="shared" si="42"/>
        <v>4374350.7418200001</v>
      </c>
      <c r="X186" s="99" t="s">
        <v>452</v>
      </c>
      <c r="AI186" t="s">
        <v>4064</v>
      </c>
      <c r="AJ186" s="114">
        <f>SUM(N44:N53)</f>
        <v>768543442.39999998</v>
      </c>
    </row>
    <row r="187" spans="17:44">
      <c r="Q187" s="99"/>
      <c r="R187" s="99" t="s">
        <v>4495</v>
      </c>
      <c r="S187" s="95">
        <v>2000000</v>
      </c>
      <c r="T187" s="168" t="s">
        <v>4656</v>
      </c>
      <c r="U187" s="168">
        <v>12438</v>
      </c>
      <c r="V187" s="113">
        <v>241.20465999999999</v>
      </c>
      <c r="W187" s="113">
        <f t="shared" si="42"/>
        <v>3000103.5610799999</v>
      </c>
      <c r="X187" s="99" t="s">
        <v>4448</v>
      </c>
      <c r="Z187" t="s">
        <v>25</v>
      </c>
      <c r="AI187" t="s">
        <v>4136</v>
      </c>
      <c r="AJ187" s="114">
        <f>AJ186-AJ180</f>
        <v>258498785.39999998</v>
      </c>
      <c r="AM187" t="s">
        <v>25</v>
      </c>
    </row>
    <row r="188" spans="17:44">
      <c r="Q188" s="99"/>
      <c r="R188" s="99" t="s">
        <v>4503</v>
      </c>
      <c r="S188" s="95">
        <v>1000000</v>
      </c>
      <c r="T188" s="168" t="s">
        <v>4665</v>
      </c>
      <c r="U188" s="168">
        <v>27363</v>
      </c>
      <c r="V188" s="113">
        <v>239.3886</v>
      </c>
      <c r="W188" s="113">
        <f t="shared" si="42"/>
        <v>6550390.2617999995</v>
      </c>
      <c r="X188" s="99" t="s">
        <v>751</v>
      </c>
      <c r="AI188" t="s">
        <v>943</v>
      </c>
      <c r="AJ188" s="114">
        <f>AN180</f>
        <v>65058277.884158552</v>
      </c>
      <c r="AN188" t="s">
        <v>25</v>
      </c>
    </row>
    <row r="189" spans="17:44">
      <c r="Q189" s="99"/>
      <c r="R189" s="99" t="s">
        <v>4509</v>
      </c>
      <c r="S189" s="95">
        <v>2000000</v>
      </c>
      <c r="T189" s="168" t="s">
        <v>4665</v>
      </c>
      <c r="U189" s="168">
        <v>27363</v>
      </c>
      <c r="V189" s="113">
        <v>239.3886</v>
      </c>
      <c r="W189" s="113">
        <f t="shared" si="42"/>
        <v>6550390.2617999995</v>
      </c>
      <c r="X189" s="99" t="s">
        <v>452</v>
      </c>
      <c r="AI189" t="s">
        <v>4065</v>
      </c>
      <c r="AJ189" s="114">
        <f>AJ186-AJ185</f>
        <v>193440507.51584136</v>
      </c>
      <c r="AN189" t="s">
        <v>25</v>
      </c>
    </row>
    <row r="190" spans="17:44">
      <c r="Q190" s="99"/>
      <c r="R190" s="99" t="s">
        <v>994</v>
      </c>
      <c r="S190" s="95">
        <v>3000000</v>
      </c>
      <c r="T190" s="210" t="s">
        <v>4667</v>
      </c>
      <c r="U190" s="210">
        <v>27437</v>
      </c>
      <c r="V190" s="113">
        <v>242.4015</v>
      </c>
      <c r="W190" s="113">
        <f t="shared" si="42"/>
        <v>6650769.9555000002</v>
      </c>
      <c r="X190" s="99" t="s">
        <v>751</v>
      </c>
      <c r="AM190" t="s">
        <v>25</v>
      </c>
    </row>
    <row r="191" spans="17:44">
      <c r="Q191" s="99"/>
      <c r="R191" s="99" t="s">
        <v>4656</v>
      </c>
      <c r="S191" s="95">
        <v>3000000</v>
      </c>
      <c r="T191" s="210" t="s">
        <v>4667</v>
      </c>
      <c r="U191" s="210">
        <v>29104</v>
      </c>
      <c r="V191" s="113">
        <v>242.4015</v>
      </c>
      <c r="W191" s="113">
        <f t="shared" si="42"/>
        <v>7054853.2560000001</v>
      </c>
      <c r="X191" s="99" t="s">
        <v>452</v>
      </c>
      <c r="Y191" t="s">
        <v>25</v>
      </c>
      <c r="AJ191" t="s">
        <v>25</v>
      </c>
    </row>
    <row r="192" spans="17:44">
      <c r="Q192" s="99" t="s">
        <v>4851</v>
      </c>
      <c r="R192" s="99" t="s">
        <v>4846</v>
      </c>
      <c r="S192" s="95">
        <v>-800000</v>
      </c>
      <c r="T192" s="213" t="s">
        <v>4691</v>
      </c>
      <c r="U192" s="213">
        <v>8991</v>
      </c>
      <c r="V192" s="113">
        <v>238.64867000000001</v>
      </c>
      <c r="W192" s="113">
        <f t="shared" si="42"/>
        <v>2145690.19197</v>
      </c>
      <c r="X192" s="99" t="s">
        <v>751</v>
      </c>
    </row>
    <row r="193" spans="15:44">
      <c r="Q193" s="99" t="s">
        <v>4852</v>
      </c>
      <c r="R193" s="99" t="s">
        <v>4846</v>
      </c>
      <c r="S193" s="95">
        <v>-900000</v>
      </c>
      <c r="T193" s="213" t="s">
        <v>4691</v>
      </c>
      <c r="U193" s="213">
        <v>8991</v>
      </c>
      <c r="V193" s="113">
        <v>238.64867000000001</v>
      </c>
      <c r="W193" s="113">
        <f t="shared" si="42"/>
        <v>2145690.19197</v>
      </c>
      <c r="X193" s="99" t="s">
        <v>452</v>
      </c>
    </row>
    <row r="194" spans="15:44">
      <c r="Q194" s="99" t="s">
        <v>4852</v>
      </c>
      <c r="R194" s="99" t="s">
        <v>981</v>
      </c>
      <c r="S194" s="95">
        <v>-1100000</v>
      </c>
      <c r="T194" s="213" t="s">
        <v>4703</v>
      </c>
      <c r="U194" s="213">
        <v>18170</v>
      </c>
      <c r="V194" s="113">
        <v>240.48475999999999</v>
      </c>
      <c r="W194" s="113">
        <f t="shared" si="42"/>
        <v>4369608.0892000003</v>
      </c>
      <c r="X194" s="99" t="s">
        <v>751</v>
      </c>
    </row>
    <row r="195" spans="15:44">
      <c r="Q195" s="195" t="s">
        <v>1087</v>
      </c>
      <c r="R195" s="195" t="s">
        <v>4877</v>
      </c>
      <c r="S195" s="242">
        <v>30000000</v>
      </c>
      <c r="T195" s="213" t="s">
        <v>4703</v>
      </c>
      <c r="U195" s="213">
        <v>18170</v>
      </c>
      <c r="V195" s="113">
        <v>240.48475999999999</v>
      </c>
      <c r="W195" s="113">
        <f t="shared" si="42"/>
        <v>4369608.0892000003</v>
      </c>
      <c r="X195" s="99" t="s">
        <v>452</v>
      </c>
    </row>
    <row r="196" spans="15:44">
      <c r="Q196" s="20" t="s">
        <v>4969</v>
      </c>
      <c r="R196" s="20" t="s">
        <v>4967</v>
      </c>
      <c r="S196" s="247">
        <v>2000000</v>
      </c>
      <c r="T196" s="213" t="s">
        <v>4705</v>
      </c>
      <c r="U196" s="213">
        <v>36797</v>
      </c>
      <c r="V196" s="113">
        <v>239.0822</v>
      </c>
      <c r="W196" s="113">
        <f t="shared" si="42"/>
        <v>8797507.7134000007</v>
      </c>
      <c r="X196" s="99" t="s">
        <v>751</v>
      </c>
      <c r="AH196" s="99" t="s">
        <v>3641</v>
      </c>
      <c r="AI196" s="99" t="s">
        <v>180</v>
      </c>
      <c r="AJ196" s="99" t="s">
        <v>267</v>
      </c>
      <c r="AK196" s="99" t="s">
        <v>4058</v>
      </c>
      <c r="AL196" s="99" t="s">
        <v>4050</v>
      </c>
      <c r="AM196" s="99" t="s">
        <v>282</v>
      </c>
      <c r="AN196" s="99" t="s">
        <v>4292</v>
      </c>
    </row>
    <row r="197" spans="15:44">
      <c r="Q197" s="149" t="s">
        <v>4996</v>
      </c>
      <c r="R197" s="149" t="s">
        <v>4995</v>
      </c>
      <c r="S197" s="150">
        <v>480105</v>
      </c>
      <c r="T197" s="213" t="s">
        <v>4705</v>
      </c>
      <c r="U197" s="213">
        <v>36797</v>
      </c>
      <c r="V197" s="113">
        <v>239.0822</v>
      </c>
      <c r="W197" s="113">
        <f t="shared" si="42"/>
        <v>8797507.7134000007</v>
      </c>
      <c r="X197" s="99" t="s">
        <v>452</v>
      </c>
      <c r="Y197" t="s">
        <v>25</v>
      </c>
      <c r="AH197" s="99">
        <v>1</v>
      </c>
      <c r="AI197" s="99" t="s">
        <v>3949</v>
      </c>
      <c r="AJ197" s="117">
        <v>3555820</v>
      </c>
      <c r="AK197" s="99">
        <v>2</v>
      </c>
      <c r="AL197" s="99">
        <f>AK197+AL198</f>
        <v>356</v>
      </c>
      <c r="AM197" s="99">
        <f>AJ197*AL197</f>
        <v>1265871920</v>
      </c>
      <c r="AN197" s="99" t="s">
        <v>4312</v>
      </c>
    </row>
    <row r="198" spans="15:44">
      <c r="Q198" s="149"/>
      <c r="R198" s="149" t="s">
        <v>5053</v>
      </c>
      <c r="S198" s="150">
        <v>30500000</v>
      </c>
      <c r="T198" s="213" t="s">
        <v>4714</v>
      </c>
      <c r="U198" s="213">
        <v>28066</v>
      </c>
      <c r="V198" s="113">
        <v>237.56970000000001</v>
      </c>
      <c r="W198" s="113">
        <f t="shared" si="42"/>
        <v>6667631.2002000008</v>
      </c>
      <c r="X198" s="99" t="s">
        <v>751</v>
      </c>
      <c r="AH198" s="99">
        <v>2</v>
      </c>
      <c r="AI198" s="99" t="s">
        <v>4024</v>
      </c>
      <c r="AJ198" s="117">
        <v>1720837</v>
      </c>
      <c r="AK198" s="99">
        <v>51</v>
      </c>
      <c r="AL198" s="99">
        <f t="shared" ref="AL198:AL207" si="43">AK198+AL199</f>
        <v>354</v>
      </c>
      <c r="AM198" s="99">
        <f t="shared" ref="AM198:AM226" si="44">AJ198*AL198</f>
        <v>609176298</v>
      </c>
      <c r="AN198" s="99" t="s">
        <v>4313</v>
      </c>
    </row>
    <row r="199" spans="15:44">
      <c r="Q199" s="20" t="s">
        <v>5102</v>
      </c>
      <c r="R199" s="20" t="s">
        <v>5096</v>
      </c>
      <c r="S199" s="247">
        <v>-400000</v>
      </c>
      <c r="T199" s="213" t="s">
        <v>4714</v>
      </c>
      <c r="U199" s="213">
        <v>28066</v>
      </c>
      <c r="V199" s="113">
        <v>237.56970000000001</v>
      </c>
      <c r="W199" s="113">
        <f t="shared" si="42"/>
        <v>6667631.2002000008</v>
      </c>
      <c r="X199" s="99" t="s">
        <v>452</v>
      </c>
      <c r="AH199" s="99">
        <v>3</v>
      </c>
      <c r="AI199" s="99" t="s">
        <v>4130</v>
      </c>
      <c r="AJ199" s="117">
        <v>150000</v>
      </c>
      <c r="AK199" s="99">
        <v>3</v>
      </c>
      <c r="AL199" s="99">
        <f t="shared" si="43"/>
        <v>303</v>
      </c>
      <c r="AM199" s="99">
        <f t="shared" si="44"/>
        <v>45450000</v>
      </c>
      <c r="AN199" s="99"/>
    </row>
    <row r="200" spans="15:44">
      <c r="Q200" s="99"/>
      <c r="R200" s="99"/>
      <c r="S200" s="95"/>
      <c r="T200" s="213" t="s">
        <v>3684</v>
      </c>
      <c r="U200" s="213">
        <v>37457</v>
      </c>
      <c r="V200" s="113">
        <v>239.77</v>
      </c>
      <c r="W200" s="113">
        <f t="shared" si="42"/>
        <v>8981064.8900000006</v>
      </c>
      <c r="X200" s="99" t="s">
        <v>751</v>
      </c>
      <c r="AH200" s="99">
        <v>4</v>
      </c>
      <c r="AI200" s="99" t="s">
        <v>4145</v>
      </c>
      <c r="AJ200" s="117">
        <v>-95000</v>
      </c>
      <c r="AK200" s="99">
        <v>8</v>
      </c>
      <c r="AL200" s="99">
        <f t="shared" si="43"/>
        <v>300</v>
      </c>
      <c r="AM200" s="99">
        <f t="shared" si="44"/>
        <v>-28500000</v>
      </c>
      <c r="AN200" s="99"/>
    </row>
    <row r="201" spans="15:44">
      <c r="Q201" s="99"/>
      <c r="R201" s="99"/>
      <c r="S201" s="95">
        <f>SUM(S186:S200)</f>
        <v>73780105</v>
      </c>
      <c r="T201" s="213" t="s">
        <v>3684</v>
      </c>
      <c r="U201" s="213">
        <v>37457</v>
      </c>
      <c r="V201" s="113">
        <v>239.77</v>
      </c>
      <c r="W201" s="113">
        <f t="shared" si="42"/>
        <v>8981064.8900000006</v>
      </c>
      <c r="X201" s="99" t="s">
        <v>452</v>
      </c>
      <c r="AH201" s="99">
        <v>5</v>
      </c>
      <c r="AI201" s="99" t="s">
        <v>4172</v>
      </c>
      <c r="AJ201" s="117">
        <v>3150000</v>
      </c>
      <c r="AK201" s="99">
        <v>16</v>
      </c>
      <c r="AL201" s="99">
        <f t="shared" si="43"/>
        <v>292</v>
      </c>
      <c r="AM201" s="99">
        <f t="shared" si="44"/>
        <v>919800000</v>
      </c>
      <c r="AN201" s="99"/>
      <c r="AQ201" t="s">
        <v>25</v>
      </c>
    </row>
    <row r="202" spans="15:44">
      <c r="O202" t="s">
        <v>25</v>
      </c>
      <c r="Q202" s="99"/>
      <c r="R202" s="99"/>
      <c r="S202" s="99" t="s">
        <v>6</v>
      </c>
      <c r="T202" s="213" t="s">
        <v>4727</v>
      </c>
      <c r="U202" s="213">
        <v>38412</v>
      </c>
      <c r="V202" s="113">
        <v>239.03</v>
      </c>
      <c r="W202" s="113">
        <f t="shared" si="42"/>
        <v>9181620.3599999994</v>
      </c>
      <c r="X202" s="99" t="s">
        <v>751</v>
      </c>
      <c r="AH202" s="99">
        <v>6</v>
      </c>
      <c r="AI202" s="99" t="s">
        <v>4240</v>
      </c>
      <c r="AJ202" s="117">
        <v>-65000</v>
      </c>
      <c r="AK202" s="99">
        <v>1</v>
      </c>
      <c r="AL202" s="99">
        <f t="shared" si="43"/>
        <v>276</v>
      </c>
      <c r="AM202" s="99">
        <f t="shared" si="44"/>
        <v>-17940000</v>
      </c>
      <c r="AN202" s="99"/>
    </row>
    <row r="203" spans="15:44">
      <c r="T203" s="213" t="s">
        <v>4727</v>
      </c>
      <c r="U203" s="213">
        <v>38412</v>
      </c>
      <c r="V203" s="113">
        <v>239.03</v>
      </c>
      <c r="W203" s="113">
        <f t="shared" si="42"/>
        <v>9181620.3599999994</v>
      </c>
      <c r="X203" s="99" t="s">
        <v>452</v>
      </c>
      <c r="AH203" s="99">
        <v>7</v>
      </c>
      <c r="AI203" s="99" t="s">
        <v>4314</v>
      </c>
      <c r="AJ203" s="117">
        <v>-95000</v>
      </c>
      <c r="AK203" s="99">
        <v>6</v>
      </c>
      <c r="AL203" s="99">
        <f t="shared" si="43"/>
        <v>275</v>
      </c>
      <c r="AM203" s="99">
        <f t="shared" si="44"/>
        <v>-26125000</v>
      </c>
      <c r="AN203" s="99"/>
    </row>
    <row r="204" spans="15:44">
      <c r="Q204" s="96"/>
      <c r="R204" s="96" t="s">
        <v>25</v>
      </c>
      <c r="T204" s="213" t="s">
        <v>4731</v>
      </c>
      <c r="U204" s="213">
        <v>49555</v>
      </c>
      <c r="V204" s="113">
        <v>238.345</v>
      </c>
      <c r="W204" s="113">
        <f t="shared" si="42"/>
        <v>11811186.475</v>
      </c>
      <c r="X204" s="99" t="s">
        <v>751</v>
      </c>
      <c r="AH204" s="99">
        <v>8</v>
      </c>
      <c r="AI204" s="99" t="s">
        <v>4315</v>
      </c>
      <c r="AJ204" s="117">
        <v>232000</v>
      </c>
      <c r="AK204" s="99">
        <v>7</v>
      </c>
      <c r="AL204" s="99">
        <f t="shared" si="43"/>
        <v>269</v>
      </c>
      <c r="AM204" s="99">
        <f t="shared" si="44"/>
        <v>62408000</v>
      </c>
      <c r="AN204" s="99"/>
      <c r="AR204" t="s">
        <v>25</v>
      </c>
    </row>
    <row r="205" spans="15:44">
      <c r="Q205" s="96"/>
      <c r="R205" s="96" t="s">
        <v>25</v>
      </c>
      <c r="T205" s="213" t="s">
        <v>4731</v>
      </c>
      <c r="U205" s="213">
        <v>49555</v>
      </c>
      <c r="V205" s="113">
        <v>238.345</v>
      </c>
      <c r="W205" s="113">
        <f t="shared" si="42"/>
        <v>11811186.475</v>
      </c>
      <c r="X205" s="99" t="s">
        <v>452</v>
      </c>
      <c r="AH205" s="99">
        <v>9</v>
      </c>
      <c r="AI205" s="99" t="s">
        <v>4291</v>
      </c>
      <c r="AJ205" s="117">
        <v>13000000</v>
      </c>
      <c r="AK205" s="99">
        <v>2</v>
      </c>
      <c r="AL205" s="99">
        <f t="shared" si="43"/>
        <v>262</v>
      </c>
      <c r="AM205" s="99">
        <f t="shared" si="44"/>
        <v>3406000000</v>
      </c>
      <c r="AN205" s="99"/>
    </row>
    <row r="206" spans="15:44">
      <c r="T206" s="213" t="s">
        <v>4745</v>
      </c>
      <c r="U206" s="213">
        <v>160187</v>
      </c>
      <c r="V206" s="113">
        <v>257.49799999999999</v>
      </c>
      <c r="W206" s="113">
        <f t="shared" si="42"/>
        <v>41247832.126000002</v>
      </c>
      <c r="X206" s="99" t="s">
        <v>751</v>
      </c>
      <c r="AH206" s="99">
        <v>10</v>
      </c>
      <c r="AI206" s="99" t="s">
        <v>4316</v>
      </c>
      <c r="AJ206" s="117">
        <v>10000000</v>
      </c>
      <c r="AK206" s="99">
        <v>3</v>
      </c>
      <c r="AL206" s="99">
        <f t="shared" si="43"/>
        <v>260</v>
      </c>
      <c r="AM206" s="99">
        <f t="shared" si="44"/>
        <v>2600000000</v>
      </c>
      <c r="AN206" s="99"/>
    </row>
    <row r="207" spans="15:44">
      <c r="Q207" s="99" t="s">
        <v>751</v>
      </c>
      <c r="R207" s="99"/>
      <c r="T207" s="213" t="s">
        <v>4745</v>
      </c>
      <c r="U207" s="213">
        <v>160187</v>
      </c>
      <c r="V207" s="113">
        <v>257.49799999999999</v>
      </c>
      <c r="W207" s="113">
        <f t="shared" si="42"/>
        <v>41247832.126000002</v>
      </c>
      <c r="X207" s="99" t="s">
        <v>452</v>
      </c>
      <c r="AH207" s="99">
        <v>11</v>
      </c>
      <c r="AI207" s="99" t="s">
        <v>4304</v>
      </c>
      <c r="AJ207" s="117">
        <v>3400000</v>
      </c>
      <c r="AK207" s="99">
        <v>9</v>
      </c>
      <c r="AL207" s="99">
        <f t="shared" si="43"/>
        <v>257</v>
      </c>
      <c r="AM207" s="99">
        <f t="shared" si="44"/>
        <v>873800000</v>
      </c>
      <c r="AN207" s="99"/>
      <c r="AR207" t="s">
        <v>25</v>
      </c>
    </row>
    <row r="208" spans="15:44">
      <c r="Q208" s="99" t="s">
        <v>4441</v>
      </c>
      <c r="R208" s="95">
        <v>172908000</v>
      </c>
      <c r="T208" s="213" t="s">
        <v>4753</v>
      </c>
      <c r="U208" s="213">
        <v>144401</v>
      </c>
      <c r="V208" s="113">
        <v>258.5061</v>
      </c>
      <c r="W208" s="113">
        <f t="shared" si="42"/>
        <v>37328539.346100003</v>
      </c>
      <c r="X208" s="99" t="s">
        <v>751</v>
      </c>
      <c r="AH208" s="99">
        <v>12</v>
      </c>
      <c r="AI208" s="99" t="s">
        <v>4346</v>
      </c>
      <c r="AJ208" s="117">
        <v>-8736514</v>
      </c>
      <c r="AK208" s="99">
        <v>1</v>
      </c>
      <c r="AL208" s="99">
        <f>AK208+AL209</f>
        <v>248</v>
      </c>
      <c r="AM208" s="99">
        <f t="shared" si="44"/>
        <v>-2166655472</v>
      </c>
      <c r="AN208" s="99"/>
    </row>
    <row r="209" spans="17:45">
      <c r="Q209" s="99" t="s">
        <v>4482</v>
      </c>
      <c r="R209" s="95">
        <v>1400000</v>
      </c>
      <c r="T209" s="213" t="s">
        <v>4753</v>
      </c>
      <c r="U209" s="213">
        <v>144401</v>
      </c>
      <c r="V209" s="113">
        <v>258.5061</v>
      </c>
      <c r="W209" s="113">
        <f t="shared" si="42"/>
        <v>37328539.346100003</v>
      </c>
      <c r="X209" s="99" t="s">
        <v>452</v>
      </c>
      <c r="AH209" s="99">
        <v>13</v>
      </c>
      <c r="AI209" s="99" t="s">
        <v>4347</v>
      </c>
      <c r="AJ209" s="117">
        <v>555000</v>
      </c>
      <c r="AK209" s="99">
        <v>5</v>
      </c>
      <c r="AL209" s="99">
        <f t="shared" ref="AL209:AL225" si="45">AK209+AL210</f>
        <v>247</v>
      </c>
      <c r="AM209" s="99">
        <f t="shared" si="44"/>
        <v>137085000</v>
      </c>
      <c r="AN209" s="99"/>
      <c r="AP209" t="s">
        <v>25</v>
      </c>
    </row>
    <row r="210" spans="17:45">
      <c r="Q210" s="99" t="s">
        <v>4231</v>
      </c>
      <c r="R210" s="95">
        <v>247393</v>
      </c>
      <c r="S210" t="s">
        <v>25</v>
      </c>
      <c r="T210" s="168" t="s">
        <v>4761</v>
      </c>
      <c r="U210" s="168">
        <v>196500</v>
      </c>
      <c r="V210" s="113">
        <v>254.452</v>
      </c>
      <c r="W210" s="113">
        <f t="shared" si="42"/>
        <v>49999818</v>
      </c>
      <c r="X210" s="99" t="s">
        <v>4765</v>
      </c>
      <c r="Z210" t="s">
        <v>25</v>
      </c>
      <c r="AH210" s="99">
        <v>14</v>
      </c>
      <c r="AI210" s="99" t="s">
        <v>4371</v>
      </c>
      <c r="AJ210" s="117">
        <v>-448308</v>
      </c>
      <c r="AK210" s="99">
        <v>6</v>
      </c>
      <c r="AL210" s="99">
        <f t="shared" si="45"/>
        <v>242</v>
      </c>
      <c r="AM210" s="99">
        <f t="shared" si="44"/>
        <v>-108490536</v>
      </c>
      <c r="AN210" s="99"/>
    </row>
    <row r="211" spans="17:45">
      <c r="Q211" s="99" t="s">
        <v>4230</v>
      </c>
      <c r="R211" s="95">
        <v>6780000</v>
      </c>
      <c r="T211" s="213" t="s">
        <v>4761</v>
      </c>
      <c r="U211" s="213">
        <v>2561</v>
      </c>
      <c r="V211" s="113">
        <v>254.536</v>
      </c>
      <c r="W211" s="113">
        <f t="shared" si="42"/>
        <v>651866.696</v>
      </c>
      <c r="X211" s="99" t="s">
        <v>4766</v>
      </c>
      <c r="AH211" s="99">
        <v>15</v>
      </c>
      <c r="AI211" s="99" t="s">
        <v>4402</v>
      </c>
      <c r="AJ211" s="117">
        <v>33225</v>
      </c>
      <c r="AK211" s="99">
        <v>0</v>
      </c>
      <c r="AL211" s="99">
        <f t="shared" si="45"/>
        <v>236</v>
      </c>
      <c r="AM211" s="99">
        <f t="shared" si="44"/>
        <v>7841100</v>
      </c>
      <c r="AN211" s="99"/>
    </row>
    <row r="212" spans="17:45">
      <c r="Q212" s="99" t="s">
        <v>4590</v>
      </c>
      <c r="R212" s="95">
        <v>-4000000</v>
      </c>
      <c r="T212" s="213" t="s">
        <v>4812</v>
      </c>
      <c r="U212" s="213">
        <v>-11795</v>
      </c>
      <c r="V212" s="113">
        <v>254.334</v>
      </c>
      <c r="W212" s="113">
        <f t="shared" si="42"/>
        <v>-2999869.5300000003</v>
      </c>
      <c r="X212" s="99" t="s">
        <v>4813</v>
      </c>
      <c r="AH212" s="149">
        <v>16</v>
      </c>
      <c r="AI212" s="149" t="s">
        <v>4402</v>
      </c>
      <c r="AJ212" s="188">
        <v>4098523</v>
      </c>
      <c r="AK212" s="149">
        <v>2</v>
      </c>
      <c r="AL212" s="149">
        <f t="shared" si="45"/>
        <v>236</v>
      </c>
      <c r="AM212" s="149">
        <f t="shared" si="44"/>
        <v>967251428</v>
      </c>
      <c r="AN212" s="149" t="s">
        <v>657</v>
      </c>
    </row>
    <row r="213" spans="17:45">
      <c r="Q213" s="99" t="s">
        <v>4622</v>
      </c>
      <c r="R213" s="95">
        <v>16727037</v>
      </c>
      <c r="T213" s="213" t="s">
        <v>4812</v>
      </c>
      <c r="U213" s="213">
        <v>11795</v>
      </c>
      <c r="V213" s="113">
        <v>254.334</v>
      </c>
      <c r="W213" s="113">
        <f t="shared" si="42"/>
        <v>2999869.5300000003</v>
      </c>
      <c r="X213" s="99" t="s">
        <v>4814</v>
      </c>
      <c r="AH213" s="149">
        <v>17</v>
      </c>
      <c r="AI213" s="149" t="s">
        <v>4415</v>
      </c>
      <c r="AJ213" s="188">
        <v>-1000000</v>
      </c>
      <c r="AK213" s="149">
        <v>7</v>
      </c>
      <c r="AL213" s="149">
        <f t="shared" si="45"/>
        <v>234</v>
      </c>
      <c r="AM213" s="149">
        <f t="shared" si="44"/>
        <v>-234000000</v>
      </c>
      <c r="AN213" s="149" t="s">
        <v>657</v>
      </c>
      <c r="AR213" t="s">
        <v>25</v>
      </c>
    </row>
    <row r="214" spans="17:45">
      <c r="Q214" s="99" t="s">
        <v>4627</v>
      </c>
      <c r="R214" s="95">
        <v>46460683</v>
      </c>
      <c r="S214" t="s">
        <v>25</v>
      </c>
      <c r="T214" s="213" t="s">
        <v>4827</v>
      </c>
      <c r="U214" s="213">
        <v>260</v>
      </c>
      <c r="V214" s="113">
        <v>263.19</v>
      </c>
      <c r="W214" s="113">
        <f t="shared" si="42"/>
        <v>68429.399999999994</v>
      </c>
      <c r="X214" s="99" t="s">
        <v>452</v>
      </c>
      <c r="AH214" s="149">
        <v>18</v>
      </c>
      <c r="AI214" s="149" t="s">
        <v>4437</v>
      </c>
      <c r="AJ214" s="188">
        <v>750000</v>
      </c>
      <c r="AK214" s="149">
        <v>1</v>
      </c>
      <c r="AL214" s="149">
        <f t="shared" si="45"/>
        <v>227</v>
      </c>
      <c r="AM214" s="149">
        <f t="shared" si="44"/>
        <v>170250000</v>
      </c>
      <c r="AN214" s="149" t="s">
        <v>657</v>
      </c>
      <c r="AQ214" t="s">
        <v>25</v>
      </c>
    </row>
    <row r="215" spans="17:45">
      <c r="Q215" s="99" t="s">
        <v>4628</v>
      </c>
      <c r="R215" s="95">
        <v>19663646</v>
      </c>
      <c r="T215" s="213" t="s">
        <v>4841</v>
      </c>
      <c r="U215" s="213">
        <v>15257</v>
      </c>
      <c r="V215" s="113">
        <v>262.19018</v>
      </c>
      <c r="W215" s="113">
        <f t="shared" si="42"/>
        <v>4000235.57626</v>
      </c>
      <c r="X215" s="99" t="s">
        <v>452</v>
      </c>
      <c r="AH215" s="195">
        <v>19</v>
      </c>
      <c r="AI215" s="195" t="s">
        <v>4439</v>
      </c>
      <c r="AJ215" s="196">
        <v>-604152</v>
      </c>
      <c r="AK215" s="195">
        <v>0</v>
      </c>
      <c r="AL215" s="195">
        <f t="shared" si="45"/>
        <v>226</v>
      </c>
      <c r="AM215" s="195">
        <f t="shared" si="44"/>
        <v>-136538352</v>
      </c>
      <c r="AN215" s="195" t="s">
        <v>657</v>
      </c>
    </row>
    <row r="216" spans="17:45">
      <c r="Q216" s="99" t="s">
        <v>4652</v>
      </c>
      <c r="R216" s="95">
        <v>4374525</v>
      </c>
      <c r="T216" s="213" t="s">
        <v>4841</v>
      </c>
      <c r="U216" s="213">
        <v>8444</v>
      </c>
      <c r="V216" s="113">
        <v>266.43029999999999</v>
      </c>
      <c r="W216" s="113">
        <f t="shared" si="42"/>
        <v>2249737.4531999999</v>
      </c>
      <c r="X216" s="99" t="s">
        <v>452</v>
      </c>
      <c r="AH216" s="99">
        <v>20</v>
      </c>
      <c r="AI216" s="99" t="s">
        <v>4440</v>
      </c>
      <c r="AJ216" s="117">
        <v>-587083</v>
      </c>
      <c r="AK216" s="99">
        <v>4</v>
      </c>
      <c r="AL216" s="99">
        <f t="shared" si="45"/>
        <v>226</v>
      </c>
      <c r="AM216" s="99">
        <f t="shared" si="44"/>
        <v>-132680758</v>
      </c>
      <c r="AN216" s="99"/>
    </row>
    <row r="217" spans="17:45">
      <c r="Q217" s="99" t="s">
        <v>4665</v>
      </c>
      <c r="R217" s="95">
        <v>6550580</v>
      </c>
      <c r="T217" s="213" t="s">
        <v>4846</v>
      </c>
      <c r="U217" s="213">
        <v>-6209</v>
      </c>
      <c r="V217" s="113">
        <v>273.79649999999998</v>
      </c>
      <c r="W217" s="113">
        <f t="shared" si="42"/>
        <v>-1700002.4685</v>
      </c>
      <c r="X217" s="99" t="s">
        <v>4857</v>
      </c>
      <c r="AH217" s="195">
        <v>21</v>
      </c>
      <c r="AI217" s="195" t="s">
        <v>4441</v>
      </c>
      <c r="AJ217" s="196">
        <v>-754351</v>
      </c>
      <c r="AK217" s="195">
        <v>0</v>
      </c>
      <c r="AL217" s="149">
        <f t="shared" si="45"/>
        <v>222</v>
      </c>
      <c r="AM217" s="195">
        <f t="shared" si="44"/>
        <v>-167465922</v>
      </c>
      <c r="AN217" s="195" t="s">
        <v>657</v>
      </c>
    </row>
    <row r="218" spans="17:45">
      <c r="Q218" s="99" t="s">
        <v>4667</v>
      </c>
      <c r="R218" s="95">
        <v>6650895</v>
      </c>
      <c r="T218" s="213" t="s">
        <v>4846</v>
      </c>
      <c r="U218" s="213">
        <v>-8014</v>
      </c>
      <c r="V218" s="113">
        <v>273.79649999999998</v>
      </c>
      <c r="W218" s="113">
        <f t="shared" si="42"/>
        <v>-2194205.1510000001</v>
      </c>
      <c r="X218" s="99" t="s">
        <v>751</v>
      </c>
      <c r="AH218" s="99">
        <v>22</v>
      </c>
      <c r="AI218" s="99" t="s">
        <v>4441</v>
      </c>
      <c r="AJ218" s="117">
        <v>-189619</v>
      </c>
      <c r="AK218" s="99">
        <v>15</v>
      </c>
      <c r="AL218" s="99">
        <f t="shared" si="45"/>
        <v>222</v>
      </c>
      <c r="AM218" s="99">
        <f t="shared" si="44"/>
        <v>-42095418</v>
      </c>
      <c r="AN218" s="99"/>
      <c r="AS218" t="s">
        <v>25</v>
      </c>
    </row>
    <row r="219" spans="17:45">
      <c r="Q219" s="99" t="s">
        <v>4691</v>
      </c>
      <c r="R219" s="95">
        <v>2145814</v>
      </c>
      <c r="T219" s="213" t="s">
        <v>4855</v>
      </c>
      <c r="U219" s="213">
        <v>-9176</v>
      </c>
      <c r="V219" s="113">
        <v>273.79649999999998</v>
      </c>
      <c r="W219" s="113">
        <f t="shared" si="42"/>
        <v>-2512356.6839999999</v>
      </c>
      <c r="X219" s="99" t="s">
        <v>452</v>
      </c>
      <c r="AH219" s="195">
        <v>23</v>
      </c>
      <c r="AI219" s="195" t="s">
        <v>4513</v>
      </c>
      <c r="AJ219" s="188">
        <v>7100</v>
      </c>
      <c r="AK219" s="195">
        <v>0</v>
      </c>
      <c r="AL219" s="149">
        <f t="shared" si="45"/>
        <v>207</v>
      </c>
      <c r="AM219" s="195">
        <f t="shared" si="44"/>
        <v>1469700</v>
      </c>
      <c r="AN219" s="195" t="s">
        <v>657</v>
      </c>
    </row>
    <row r="220" spans="17:45">
      <c r="Q220" s="99" t="s">
        <v>4703</v>
      </c>
      <c r="R220" s="95">
        <v>4369730</v>
      </c>
      <c r="T220" s="213" t="s">
        <v>4855</v>
      </c>
      <c r="U220" s="213">
        <v>1087</v>
      </c>
      <c r="V220" s="113">
        <v>273.79649999999998</v>
      </c>
      <c r="W220" s="113">
        <f t="shared" si="42"/>
        <v>297616.79550000001</v>
      </c>
      <c r="X220" s="99" t="s">
        <v>452</v>
      </c>
      <c r="AH220" s="20">
        <v>24</v>
      </c>
      <c r="AI220" s="20" t="s">
        <v>4513</v>
      </c>
      <c r="AJ220" s="117">
        <v>-147902</v>
      </c>
      <c r="AK220" s="20">
        <v>3</v>
      </c>
      <c r="AL220" s="99">
        <f t="shared" si="45"/>
        <v>207</v>
      </c>
      <c r="AM220" s="20">
        <f t="shared" si="44"/>
        <v>-30615714</v>
      </c>
      <c r="AN220" s="20"/>
    </row>
    <row r="221" spans="17:45">
      <c r="Q221" s="99" t="s">
        <v>4705</v>
      </c>
      <c r="R221" s="95">
        <v>8739459</v>
      </c>
      <c r="S221" t="s">
        <v>25</v>
      </c>
      <c r="T221" s="213" t="s">
        <v>981</v>
      </c>
      <c r="U221" s="213">
        <v>-4017</v>
      </c>
      <c r="V221" s="113">
        <v>273.79649999999998</v>
      </c>
      <c r="W221" s="113">
        <f t="shared" si="42"/>
        <v>-1099840.5404999999</v>
      </c>
      <c r="X221" s="99" t="s">
        <v>4448</v>
      </c>
      <c r="AH221" s="149">
        <v>25</v>
      </c>
      <c r="AI221" s="149" t="s">
        <v>4521</v>
      </c>
      <c r="AJ221" s="188">
        <v>-37200</v>
      </c>
      <c r="AK221" s="149">
        <v>4</v>
      </c>
      <c r="AL221" s="149">
        <f t="shared" si="45"/>
        <v>204</v>
      </c>
      <c r="AM221" s="195">
        <f t="shared" si="44"/>
        <v>-7588800</v>
      </c>
      <c r="AN221" s="149" t="s">
        <v>657</v>
      </c>
    </row>
    <row r="222" spans="17:45">
      <c r="Q222" s="99" t="s">
        <v>4714</v>
      </c>
      <c r="R222" s="95">
        <v>6667654</v>
      </c>
      <c r="T222" s="213" t="s">
        <v>981</v>
      </c>
      <c r="U222" s="213">
        <v>4017</v>
      </c>
      <c r="V222" s="113">
        <v>273.79649999999998</v>
      </c>
      <c r="W222" s="113">
        <f t="shared" si="42"/>
        <v>1099840.5404999999</v>
      </c>
      <c r="X222" s="99" t="s">
        <v>452</v>
      </c>
      <c r="AH222" s="99">
        <v>26</v>
      </c>
      <c r="AI222" s="99" t="s">
        <v>4552</v>
      </c>
      <c r="AJ222" s="117">
        <v>-372326</v>
      </c>
      <c r="AK222" s="99">
        <v>21</v>
      </c>
      <c r="AL222" s="99">
        <f t="shared" si="45"/>
        <v>200</v>
      </c>
      <c r="AM222" s="20">
        <f t="shared" si="44"/>
        <v>-74465200</v>
      </c>
      <c r="AN222" s="99"/>
    </row>
    <row r="223" spans="17:45">
      <c r="Q223" s="99" t="s">
        <v>4722</v>
      </c>
      <c r="R223" s="95">
        <v>8981245</v>
      </c>
      <c r="T223" s="213" t="s">
        <v>4864</v>
      </c>
      <c r="U223" s="213">
        <v>3137</v>
      </c>
      <c r="V223" s="113">
        <v>283.69110000000001</v>
      </c>
      <c r="W223" s="113">
        <f t="shared" si="42"/>
        <v>889938.98070000007</v>
      </c>
      <c r="X223" s="99" t="s">
        <v>452</v>
      </c>
      <c r="AH223" s="99">
        <v>27</v>
      </c>
      <c r="AI223" s="99" t="s">
        <v>4604</v>
      </c>
      <c r="AJ223" s="117">
        <v>235062</v>
      </c>
      <c r="AK223" s="99">
        <v>0</v>
      </c>
      <c r="AL223" s="99">
        <f t="shared" si="45"/>
        <v>179</v>
      </c>
      <c r="AM223" s="20">
        <f t="shared" si="44"/>
        <v>42076098</v>
      </c>
      <c r="AN223" s="99"/>
    </row>
    <row r="224" spans="17:45">
      <c r="Q224" s="99" t="s">
        <v>4727</v>
      </c>
      <c r="R224" s="95">
        <v>9181756</v>
      </c>
      <c r="T224" s="213" t="s">
        <v>4877</v>
      </c>
      <c r="U224" s="213">
        <v>101933</v>
      </c>
      <c r="V224" s="113">
        <v>294.30973999999998</v>
      </c>
      <c r="W224" s="113">
        <f t="shared" si="42"/>
        <v>29999874.727419998</v>
      </c>
      <c r="X224" s="99" t="s">
        <v>1087</v>
      </c>
      <c r="Z224" t="s">
        <v>25</v>
      </c>
      <c r="AH224" s="149">
        <v>28</v>
      </c>
      <c r="AI224" s="149" t="s">
        <v>4604</v>
      </c>
      <c r="AJ224" s="188">
        <v>235062</v>
      </c>
      <c r="AK224" s="149">
        <v>9</v>
      </c>
      <c r="AL224" s="99">
        <f t="shared" si="45"/>
        <v>179</v>
      </c>
      <c r="AM224" s="149">
        <f t="shared" si="44"/>
        <v>42076098</v>
      </c>
      <c r="AN224" s="149" t="s">
        <v>657</v>
      </c>
    </row>
    <row r="225" spans="17:44">
      <c r="Q225" s="99" t="s">
        <v>4731</v>
      </c>
      <c r="R225" s="95">
        <v>11811208</v>
      </c>
      <c r="S225" t="s">
        <v>25</v>
      </c>
      <c r="T225" s="213" t="s">
        <v>4885</v>
      </c>
      <c r="U225" s="213">
        <v>3407</v>
      </c>
      <c r="V225" s="113">
        <v>293.43799999999999</v>
      </c>
      <c r="W225" s="113">
        <f t="shared" si="42"/>
        <v>999743.26599999995</v>
      </c>
      <c r="X225" s="99" t="s">
        <v>452</v>
      </c>
      <c r="AH225" s="149">
        <v>29</v>
      </c>
      <c r="AI225" s="149" t="s">
        <v>4628</v>
      </c>
      <c r="AJ225" s="188">
        <v>450000</v>
      </c>
      <c r="AK225" s="149">
        <v>0</v>
      </c>
      <c r="AL225" s="99">
        <f t="shared" si="45"/>
        <v>170</v>
      </c>
      <c r="AM225" s="149">
        <f t="shared" si="44"/>
        <v>76500000</v>
      </c>
      <c r="AN225" s="149" t="s">
        <v>657</v>
      </c>
    </row>
    <row r="226" spans="17:44">
      <c r="Q226" s="99" t="s">
        <v>4745</v>
      </c>
      <c r="R226" s="95">
        <v>41248054</v>
      </c>
      <c r="S226" t="s">
        <v>25</v>
      </c>
      <c r="T226" s="213" t="s">
        <v>4886</v>
      </c>
      <c r="U226" s="213">
        <v>68796</v>
      </c>
      <c r="V226" s="113">
        <v>293.53250000000003</v>
      </c>
      <c r="W226" s="113">
        <f t="shared" si="42"/>
        <v>20193861.870000001</v>
      </c>
      <c r="X226" s="99" t="s">
        <v>751</v>
      </c>
      <c r="Y226" t="s">
        <v>25</v>
      </c>
      <c r="AH226" s="20">
        <v>30</v>
      </c>
      <c r="AI226" s="20" t="s">
        <v>4628</v>
      </c>
      <c r="AJ226" s="117">
        <v>450000</v>
      </c>
      <c r="AK226" s="20">
        <v>22</v>
      </c>
      <c r="AL226" s="99">
        <f>AK226+AL227</f>
        <v>170</v>
      </c>
      <c r="AM226" s="20">
        <f t="shared" si="44"/>
        <v>76500000</v>
      </c>
      <c r="AN226" s="20"/>
    </row>
    <row r="227" spans="17:44">
      <c r="Q227" s="99" t="s">
        <v>4753</v>
      </c>
      <c r="R227" s="95">
        <v>37328780</v>
      </c>
      <c r="T227" s="213" t="s">
        <v>4886</v>
      </c>
      <c r="U227" s="213">
        <v>154791</v>
      </c>
      <c r="V227" s="113">
        <v>293.53250000000003</v>
      </c>
      <c r="W227" s="113">
        <f t="shared" si="42"/>
        <v>45436189.207500003</v>
      </c>
      <c r="X227" s="99" t="s">
        <v>452</v>
      </c>
      <c r="AH227" s="149">
        <v>31</v>
      </c>
      <c r="AI227" s="149" t="s">
        <v>4705</v>
      </c>
      <c r="AJ227" s="188">
        <v>300000</v>
      </c>
      <c r="AK227" s="149">
        <v>0</v>
      </c>
      <c r="AL227" s="149">
        <f t="shared" ref="AL227:AL242" si="46">AK227+AL228</f>
        <v>148</v>
      </c>
      <c r="AM227" s="149">
        <f t="shared" ref="AM227:AM230" si="47">AJ227*AL227</f>
        <v>44400000</v>
      </c>
      <c r="AN227" s="149"/>
    </row>
    <row r="228" spans="17:44" ht="30">
      <c r="Q228" s="99" t="s">
        <v>4846</v>
      </c>
      <c r="R228" s="95">
        <v>-2194100</v>
      </c>
      <c r="T228" s="213" t="s">
        <v>4886</v>
      </c>
      <c r="U228" s="213">
        <v>-11923</v>
      </c>
      <c r="V228" s="113">
        <v>293.53250000000003</v>
      </c>
      <c r="W228" s="113">
        <f t="shared" si="42"/>
        <v>-3499787.9975000005</v>
      </c>
      <c r="X228" s="99" t="s">
        <v>452</v>
      </c>
      <c r="Y228" s="96"/>
      <c r="AH228" s="121">
        <v>32</v>
      </c>
      <c r="AI228" s="121" t="s">
        <v>4705</v>
      </c>
      <c r="AJ228" s="79">
        <v>288936</v>
      </c>
      <c r="AK228" s="121">
        <v>3</v>
      </c>
      <c r="AL228" s="121">
        <f t="shared" si="46"/>
        <v>148</v>
      </c>
      <c r="AM228" s="121">
        <f t="shared" si="47"/>
        <v>42762528</v>
      </c>
      <c r="AN228" s="205" t="s">
        <v>4716</v>
      </c>
    </row>
    <row r="229" spans="17:44">
      <c r="Q229" s="99" t="s">
        <v>4886</v>
      </c>
      <c r="R229" s="95">
        <v>20193916</v>
      </c>
      <c r="T229" s="213" t="s">
        <v>4901</v>
      </c>
      <c r="U229" s="213">
        <v>8424</v>
      </c>
      <c r="V229" s="113">
        <v>299.15170000000001</v>
      </c>
      <c r="W229" s="113">
        <f t="shared" si="42"/>
        <v>2520053.9208</v>
      </c>
      <c r="X229" s="99" t="s">
        <v>452</v>
      </c>
      <c r="Y229" t="s">
        <v>25</v>
      </c>
      <c r="AH229" s="121">
        <v>33</v>
      </c>
      <c r="AI229" s="121" t="s">
        <v>4714</v>
      </c>
      <c r="AJ229" s="79">
        <v>17962491</v>
      </c>
      <c r="AK229" s="121">
        <v>1</v>
      </c>
      <c r="AL229" s="121">
        <f t="shared" si="46"/>
        <v>145</v>
      </c>
      <c r="AM229" s="121">
        <f t="shared" si="47"/>
        <v>2604561195</v>
      </c>
      <c r="AN229" s="121" t="s">
        <v>4721</v>
      </c>
    </row>
    <row r="230" spans="17:44">
      <c r="Q230" s="99" t="s">
        <v>4967</v>
      </c>
      <c r="R230" s="95">
        <v>-2000000</v>
      </c>
      <c r="T230" s="213" t="s">
        <v>4938</v>
      </c>
      <c r="U230" s="213">
        <v>15943</v>
      </c>
      <c r="V230" s="113">
        <v>307.34415000000001</v>
      </c>
      <c r="W230" s="113">
        <f t="shared" si="42"/>
        <v>4899987.78345</v>
      </c>
      <c r="X230" s="99" t="s">
        <v>452</v>
      </c>
      <c r="AH230" s="121">
        <v>34</v>
      </c>
      <c r="AI230" s="121" t="s">
        <v>3684</v>
      </c>
      <c r="AJ230" s="79">
        <v>18363511</v>
      </c>
      <c r="AK230" s="121">
        <v>1</v>
      </c>
      <c r="AL230" s="121">
        <f t="shared" si="46"/>
        <v>144</v>
      </c>
      <c r="AM230" s="121">
        <f t="shared" si="47"/>
        <v>2644345584</v>
      </c>
      <c r="AN230" s="121" t="s">
        <v>4721</v>
      </c>
      <c r="AQ230" t="s">
        <v>25</v>
      </c>
    </row>
    <row r="231" spans="17:44">
      <c r="Q231" s="99" t="s">
        <v>5053</v>
      </c>
      <c r="R231" s="95">
        <v>6800000</v>
      </c>
      <c r="S231" t="s">
        <v>25</v>
      </c>
      <c r="T231" s="213" t="s">
        <v>4961</v>
      </c>
      <c r="U231" s="213">
        <v>3741</v>
      </c>
      <c r="V231" s="113">
        <v>307.34415000000001</v>
      </c>
      <c r="W231" s="113">
        <f t="shared" si="42"/>
        <v>1149774.4651500001</v>
      </c>
      <c r="X231" s="99" t="s">
        <v>452</v>
      </c>
      <c r="AH231" s="121">
        <v>35</v>
      </c>
      <c r="AI231" s="121" t="s">
        <v>4727</v>
      </c>
      <c r="AJ231" s="79">
        <v>23622417</v>
      </c>
      <c r="AK231" s="121">
        <v>5</v>
      </c>
      <c r="AL231" s="121">
        <f t="shared" si="46"/>
        <v>143</v>
      </c>
      <c r="AM231" s="121">
        <f t="shared" ref="AM231:AM234" si="48">AJ231*AL231</f>
        <v>3378005631</v>
      </c>
      <c r="AN231" s="121" t="s">
        <v>4730</v>
      </c>
    </row>
    <row r="232" spans="17:44">
      <c r="Q232" s="99" t="s">
        <v>5069</v>
      </c>
      <c r="R232" s="95">
        <v>850000</v>
      </c>
      <c r="T232" s="213" t="s">
        <v>4967</v>
      </c>
      <c r="U232" s="213">
        <v>-6207</v>
      </c>
      <c r="V232" s="113">
        <v>322.214</v>
      </c>
      <c r="W232" s="113">
        <f t="shared" si="42"/>
        <v>-1999982.298</v>
      </c>
      <c r="X232" s="99" t="s">
        <v>751</v>
      </c>
      <c r="AH232" s="121">
        <v>36</v>
      </c>
      <c r="AI232" s="121" t="s">
        <v>4743</v>
      </c>
      <c r="AJ232" s="79">
        <v>82496108</v>
      </c>
      <c r="AK232" s="121">
        <v>1</v>
      </c>
      <c r="AL232" s="121">
        <f t="shared" si="46"/>
        <v>138</v>
      </c>
      <c r="AM232" s="121">
        <f t="shared" si="48"/>
        <v>11384462904</v>
      </c>
      <c r="AN232" s="121" t="s">
        <v>4746</v>
      </c>
    </row>
    <row r="233" spans="17:44">
      <c r="Q233" s="99" t="s">
        <v>5079</v>
      </c>
      <c r="R233" s="95">
        <v>2290500</v>
      </c>
      <c r="T233" s="213" t="s">
        <v>4967</v>
      </c>
      <c r="U233" s="213">
        <v>6207</v>
      </c>
      <c r="V233" s="113">
        <v>322.214</v>
      </c>
      <c r="W233" s="113">
        <f t="shared" si="42"/>
        <v>1999982.298</v>
      </c>
      <c r="X233" s="99" t="s">
        <v>4448</v>
      </c>
      <c r="Y233" t="s">
        <v>25</v>
      </c>
      <c r="AH233" s="121">
        <v>37</v>
      </c>
      <c r="AI233" s="121" t="s">
        <v>4745</v>
      </c>
      <c r="AJ233" s="79">
        <v>74657561</v>
      </c>
      <c r="AK233" s="121">
        <v>16</v>
      </c>
      <c r="AL233" s="121">
        <f t="shared" si="46"/>
        <v>137</v>
      </c>
      <c r="AM233" s="121">
        <f t="shared" si="48"/>
        <v>10228085857</v>
      </c>
      <c r="AN233" s="121" t="s">
        <v>4752</v>
      </c>
    </row>
    <row r="234" spans="17:44">
      <c r="Q234" s="99" t="s">
        <v>5096</v>
      </c>
      <c r="R234" s="95">
        <v>400000</v>
      </c>
      <c r="S234" t="s">
        <v>25</v>
      </c>
      <c r="T234" s="213" t="s">
        <v>4910</v>
      </c>
      <c r="U234" s="213">
        <v>776</v>
      </c>
      <c r="V234" s="113">
        <v>322.214</v>
      </c>
      <c r="W234" s="113">
        <f t="shared" si="42"/>
        <v>250038.06400000001</v>
      </c>
      <c r="X234" s="99" t="s">
        <v>452</v>
      </c>
      <c r="AH234" s="99">
        <v>38</v>
      </c>
      <c r="AI234" s="99" t="s">
        <v>4827</v>
      </c>
      <c r="AJ234" s="117">
        <v>665000</v>
      </c>
      <c r="AK234" s="99">
        <v>0</v>
      </c>
      <c r="AL234" s="99">
        <f t="shared" si="46"/>
        <v>121</v>
      </c>
      <c r="AM234" s="20">
        <f t="shared" si="48"/>
        <v>80465000</v>
      </c>
      <c r="AN234" s="99"/>
    </row>
    <row r="235" spans="17:44">
      <c r="Q235" s="99" t="s">
        <v>5106</v>
      </c>
      <c r="R235" s="95">
        <v>150000</v>
      </c>
      <c r="T235" s="213" t="s">
        <v>4995</v>
      </c>
      <c r="U235" s="213">
        <v>1524</v>
      </c>
      <c r="V235" s="113">
        <v>314.95999999999998</v>
      </c>
      <c r="W235" s="113">
        <f t="shared" si="42"/>
        <v>479999.04</v>
      </c>
      <c r="X235" s="99" t="s">
        <v>1087</v>
      </c>
      <c r="Z235" t="s">
        <v>25</v>
      </c>
      <c r="AA235" t="s">
        <v>25</v>
      </c>
      <c r="AH235" s="149">
        <v>39</v>
      </c>
      <c r="AI235" s="149" t="s">
        <v>4827</v>
      </c>
      <c r="AJ235" s="188">
        <v>665000</v>
      </c>
      <c r="AK235" s="149">
        <v>4</v>
      </c>
      <c r="AL235" s="195">
        <f t="shared" si="46"/>
        <v>121</v>
      </c>
      <c r="AM235" s="195">
        <f t="shared" ref="AM235:AM236" si="49">AJ235*AL235</f>
        <v>80465000</v>
      </c>
      <c r="AN235" s="195"/>
    </row>
    <row r="236" spans="17:44">
      <c r="Q236" s="99"/>
      <c r="R236" s="95"/>
      <c r="T236" s="213" t="s">
        <v>5004</v>
      </c>
      <c r="U236" s="213">
        <v>4435</v>
      </c>
      <c r="V236" s="113">
        <v>316.4375</v>
      </c>
      <c r="W236" s="113">
        <f t="shared" si="42"/>
        <v>1403400.3125</v>
      </c>
      <c r="X236" s="99" t="s">
        <v>452</v>
      </c>
      <c r="AH236" s="20">
        <v>40</v>
      </c>
      <c r="AI236" s="20" t="s">
        <v>4841</v>
      </c>
      <c r="AJ236" s="117">
        <v>2000000</v>
      </c>
      <c r="AK236" s="20">
        <v>1</v>
      </c>
      <c r="AL236" s="99">
        <f t="shared" si="46"/>
        <v>117</v>
      </c>
      <c r="AM236" s="20">
        <f t="shared" si="49"/>
        <v>234000000</v>
      </c>
      <c r="AN236" s="99"/>
    </row>
    <row r="237" spans="17:44">
      <c r="Q237" s="99"/>
      <c r="R237" s="95">
        <f>SUM(R208:R236)</f>
        <v>434726775</v>
      </c>
      <c r="T237" s="213" t="s">
        <v>5009</v>
      </c>
      <c r="U237" s="213">
        <v>624</v>
      </c>
      <c r="V237" s="113">
        <v>320.5</v>
      </c>
      <c r="W237" s="113">
        <f t="shared" si="42"/>
        <v>199992</v>
      </c>
      <c r="X237" s="99" t="s">
        <v>452</v>
      </c>
      <c r="Y237" t="s">
        <v>25</v>
      </c>
      <c r="AH237" s="20">
        <v>41</v>
      </c>
      <c r="AI237" s="20" t="s">
        <v>4846</v>
      </c>
      <c r="AJ237" s="117">
        <v>-2060725</v>
      </c>
      <c r="AK237" s="20">
        <v>0</v>
      </c>
      <c r="AL237" s="99">
        <f t="shared" si="46"/>
        <v>116</v>
      </c>
      <c r="AM237" s="20">
        <f t="shared" ref="AM237:AM242" si="50">AJ237*AL237</f>
        <v>-239044100</v>
      </c>
      <c r="AN237" s="99" t="s">
        <v>4847</v>
      </c>
    </row>
    <row r="238" spans="17:44">
      <c r="Q238" s="99"/>
      <c r="R238" s="99" t="s">
        <v>6</v>
      </c>
      <c r="S238" t="s">
        <v>25</v>
      </c>
      <c r="T238" s="213" t="s">
        <v>5016</v>
      </c>
      <c r="U238" s="213">
        <v>1086</v>
      </c>
      <c r="V238" s="113">
        <v>317.55</v>
      </c>
      <c r="W238" s="113">
        <f t="shared" si="42"/>
        <v>344859.3</v>
      </c>
      <c r="X238" s="99" t="s">
        <v>452</v>
      </c>
      <c r="AH238" s="149">
        <v>42</v>
      </c>
      <c r="AI238" s="149" t="s">
        <v>4846</v>
      </c>
      <c r="AJ238" s="188">
        <v>-433375</v>
      </c>
      <c r="AK238" s="149">
        <v>0</v>
      </c>
      <c r="AL238" s="149">
        <f t="shared" si="46"/>
        <v>116</v>
      </c>
      <c r="AM238" s="149">
        <f t="shared" si="50"/>
        <v>-50271500</v>
      </c>
      <c r="AN238" s="149" t="s">
        <v>4848</v>
      </c>
      <c r="AR238" t="s">
        <v>25</v>
      </c>
    </row>
    <row r="239" spans="17:44">
      <c r="T239" s="213" t="s">
        <v>5022</v>
      </c>
      <c r="U239" s="213">
        <v>2820</v>
      </c>
      <c r="V239" s="113">
        <v>319.1096</v>
      </c>
      <c r="W239" s="113">
        <f t="shared" si="42"/>
        <v>899889.07200000004</v>
      </c>
      <c r="X239" s="99" t="s">
        <v>452</v>
      </c>
      <c r="AH239" s="20">
        <v>43</v>
      </c>
      <c r="AI239" s="20" t="s">
        <v>4846</v>
      </c>
      <c r="AJ239" s="117">
        <v>28000000</v>
      </c>
      <c r="AK239" s="20">
        <v>1</v>
      </c>
      <c r="AL239" s="99">
        <f t="shared" si="46"/>
        <v>116</v>
      </c>
      <c r="AM239" s="20">
        <f t="shared" si="50"/>
        <v>3248000000</v>
      </c>
      <c r="AN239" s="99" t="s">
        <v>3891</v>
      </c>
      <c r="AR239" t="s">
        <v>25</v>
      </c>
    </row>
    <row r="240" spans="17:44">
      <c r="T240" s="213" t="s">
        <v>5026</v>
      </c>
      <c r="U240" s="213">
        <v>1145</v>
      </c>
      <c r="V240" s="113">
        <v>325.44</v>
      </c>
      <c r="W240" s="113">
        <f t="shared" si="42"/>
        <v>372628.8</v>
      </c>
      <c r="X240" s="99" t="s">
        <v>452</v>
      </c>
      <c r="AH240" s="20">
        <v>44</v>
      </c>
      <c r="AI240" s="20" t="s">
        <v>4855</v>
      </c>
      <c r="AJ240" s="117">
        <v>160000</v>
      </c>
      <c r="AK240" s="20">
        <v>0</v>
      </c>
      <c r="AL240" s="99">
        <f t="shared" si="46"/>
        <v>115</v>
      </c>
      <c r="AM240" s="20">
        <f t="shared" si="50"/>
        <v>18400000</v>
      </c>
      <c r="AN240" s="99"/>
    </row>
    <row r="241" spans="17:43">
      <c r="Q241" s="99" t="s">
        <v>452</v>
      </c>
      <c r="R241" s="99"/>
      <c r="T241" s="213" t="s">
        <v>5038</v>
      </c>
      <c r="U241" s="213">
        <v>20153</v>
      </c>
      <c r="V241" s="113">
        <v>322</v>
      </c>
      <c r="W241" s="113">
        <f t="shared" si="42"/>
        <v>6489266</v>
      </c>
      <c r="X241" s="99" t="s">
        <v>452</v>
      </c>
      <c r="AH241" s="149">
        <v>45</v>
      </c>
      <c r="AI241" s="149" t="s">
        <v>4855</v>
      </c>
      <c r="AJ241" s="188">
        <v>70000</v>
      </c>
      <c r="AK241" s="149">
        <v>9</v>
      </c>
      <c r="AL241" s="149">
        <f t="shared" si="46"/>
        <v>115</v>
      </c>
      <c r="AM241" s="149">
        <f t="shared" si="50"/>
        <v>8050000</v>
      </c>
      <c r="AN241" s="149"/>
    </row>
    <row r="242" spans="17:43">
      <c r="Q242" s="99" t="s">
        <v>4441</v>
      </c>
      <c r="R242" s="95">
        <v>63115000</v>
      </c>
      <c r="T242" s="213" t="s">
        <v>5053</v>
      </c>
      <c r="U242" s="213">
        <v>93720</v>
      </c>
      <c r="V242" s="113">
        <v>325.435</v>
      </c>
      <c r="W242" s="113">
        <f t="shared" si="42"/>
        <v>30499768.199999999</v>
      </c>
      <c r="X242" s="99" t="s">
        <v>1087</v>
      </c>
      <c r="AH242" s="20">
        <v>46</v>
      </c>
      <c r="AI242" s="20" t="s">
        <v>4864</v>
      </c>
      <c r="AJ242" s="117">
        <v>850000</v>
      </c>
      <c r="AK242" s="20">
        <v>0</v>
      </c>
      <c r="AL242" s="99">
        <f t="shared" si="46"/>
        <v>106</v>
      </c>
      <c r="AM242" s="20">
        <f t="shared" si="50"/>
        <v>90100000</v>
      </c>
      <c r="AN242" s="99"/>
    </row>
    <row r="243" spans="17:43">
      <c r="Q243" s="99" t="s">
        <v>4495</v>
      </c>
      <c r="R243" s="95">
        <v>13300000</v>
      </c>
      <c r="T243" s="213" t="s">
        <v>5053</v>
      </c>
      <c r="U243" s="213">
        <v>20895</v>
      </c>
      <c r="V243" s="113">
        <v>325.435</v>
      </c>
      <c r="W243" s="113">
        <f t="shared" si="42"/>
        <v>6799964.3250000002</v>
      </c>
      <c r="X243" s="99" t="s">
        <v>751</v>
      </c>
      <c r="AH243" s="195">
        <v>47</v>
      </c>
      <c r="AI243" s="195" t="s">
        <v>4864</v>
      </c>
      <c r="AJ243" s="196">
        <v>20000</v>
      </c>
      <c r="AK243" s="195">
        <v>4</v>
      </c>
      <c r="AL243" s="195">
        <f t="shared" ref="AL243:AL251" si="51">AK243+AL244</f>
        <v>106</v>
      </c>
      <c r="AM243" s="195">
        <f t="shared" ref="AM243:AM251" si="52">AJ243*AL243</f>
        <v>2120000</v>
      </c>
      <c r="AN243" s="195"/>
    </row>
    <row r="244" spans="17:43">
      <c r="Q244" s="99" t="s">
        <v>4503</v>
      </c>
      <c r="R244" s="95">
        <v>2269000</v>
      </c>
      <c r="T244" s="213" t="s">
        <v>5069</v>
      </c>
      <c r="U244" s="213">
        <v>2611</v>
      </c>
      <c r="V244" s="113">
        <v>325.435</v>
      </c>
      <c r="W244" s="113">
        <f t="shared" si="42"/>
        <v>849710.78500000003</v>
      </c>
      <c r="X244" s="99" t="s">
        <v>751</v>
      </c>
      <c r="AH244" s="195">
        <v>48</v>
      </c>
      <c r="AI244" s="195" t="s">
        <v>4877</v>
      </c>
      <c r="AJ244" s="196">
        <v>30000000</v>
      </c>
      <c r="AK244" s="195">
        <v>27</v>
      </c>
      <c r="AL244" s="195">
        <f t="shared" si="51"/>
        <v>102</v>
      </c>
      <c r="AM244" s="195">
        <f t="shared" si="52"/>
        <v>3060000000</v>
      </c>
      <c r="AN244" s="195" t="s">
        <v>4879</v>
      </c>
    </row>
    <row r="245" spans="17:43">
      <c r="Q245" s="99" t="s">
        <v>4618</v>
      </c>
      <c r="R245" s="95">
        <v>25071612</v>
      </c>
      <c r="T245" s="213" t="s">
        <v>5079</v>
      </c>
      <c r="U245" s="213">
        <v>6750</v>
      </c>
      <c r="V245" s="113">
        <v>339.3</v>
      </c>
      <c r="W245" s="113">
        <f t="shared" si="42"/>
        <v>2290275</v>
      </c>
      <c r="X245" s="99" t="s">
        <v>751</v>
      </c>
      <c r="AH245" s="20">
        <v>49</v>
      </c>
      <c r="AI245" s="20" t="s">
        <v>4961</v>
      </c>
      <c r="AJ245" s="117">
        <v>1100000</v>
      </c>
      <c r="AK245" s="20">
        <v>1</v>
      </c>
      <c r="AL245" s="20">
        <f t="shared" si="51"/>
        <v>75</v>
      </c>
      <c r="AM245" s="20">
        <f t="shared" si="52"/>
        <v>82500000</v>
      </c>
      <c r="AN245" s="20"/>
    </row>
    <row r="246" spans="17:43">
      <c r="Q246" s="99" t="s">
        <v>4627</v>
      </c>
      <c r="R246" s="95">
        <v>42236984</v>
      </c>
      <c r="T246" s="213" t="s">
        <v>5096</v>
      </c>
      <c r="U246" s="213">
        <v>1850</v>
      </c>
      <c r="V246" s="113">
        <v>334.10050000000001</v>
      </c>
      <c r="W246" s="113">
        <f t="shared" si="42"/>
        <v>618085.92500000005</v>
      </c>
      <c r="X246" s="99" t="s">
        <v>452</v>
      </c>
      <c r="AH246" s="20">
        <v>50</v>
      </c>
      <c r="AI246" s="20" t="s">
        <v>4963</v>
      </c>
      <c r="AJ246" s="117">
        <v>450000</v>
      </c>
      <c r="AK246" s="20">
        <v>0</v>
      </c>
      <c r="AL246" s="20">
        <f t="shared" si="51"/>
        <v>74</v>
      </c>
      <c r="AM246" s="20">
        <f t="shared" si="52"/>
        <v>33300000</v>
      </c>
      <c r="AN246" s="20"/>
    </row>
    <row r="247" spans="17:43">
      <c r="Q247" s="99" t="s">
        <v>4628</v>
      </c>
      <c r="R247" s="95">
        <v>19663646</v>
      </c>
      <c r="T247" s="213" t="s">
        <v>5096</v>
      </c>
      <c r="U247" s="213">
        <v>-1194</v>
      </c>
      <c r="V247" s="113">
        <v>335</v>
      </c>
      <c r="W247" s="113">
        <f t="shared" si="42"/>
        <v>-399990</v>
      </c>
      <c r="X247" s="99" t="s">
        <v>4448</v>
      </c>
      <c r="AH247" s="149">
        <v>51</v>
      </c>
      <c r="AI247" s="149" t="s">
        <v>4963</v>
      </c>
      <c r="AJ247" s="188">
        <v>550000</v>
      </c>
      <c r="AK247" s="149">
        <v>1</v>
      </c>
      <c r="AL247" s="149">
        <f t="shared" si="51"/>
        <v>74</v>
      </c>
      <c r="AM247" s="149">
        <f t="shared" si="52"/>
        <v>40700000</v>
      </c>
      <c r="AN247" s="149"/>
    </row>
    <row r="248" spans="17:43">
      <c r="Q248" s="99" t="s">
        <v>4652</v>
      </c>
      <c r="R248" s="95">
        <v>4374525</v>
      </c>
      <c r="T248" s="213" t="s">
        <v>5096</v>
      </c>
      <c r="U248" s="213">
        <v>1194</v>
      </c>
      <c r="V248" s="113">
        <v>335</v>
      </c>
      <c r="W248" s="113">
        <f t="shared" si="42"/>
        <v>399990</v>
      </c>
      <c r="X248" s="99" t="s">
        <v>751</v>
      </c>
      <c r="AH248" s="149">
        <v>52</v>
      </c>
      <c r="AI248" s="149" t="s">
        <v>4965</v>
      </c>
      <c r="AJ248" s="188">
        <v>1000000</v>
      </c>
      <c r="AK248" s="149">
        <v>8</v>
      </c>
      <c r="AL248" s="149">
        <f t="shared" si="51"/>
        <v>73</v>
      </c>
      <c r="AM248" s="149">
        <f t="shared" si="52"/>
        <v>73000000</v>
      </c>
      <c r="AN248" s="149"/>
    </row>
    <row r="249" spans="17:43">
      <c r="Q249" s="99" t="s">
        <v>4665</v>
      </c>
      <c r="R249" s="95">
        <v>6550580</v>
      </c>
      <c r="T249" s="213" t="s">
        <v>5106</v>
      </c>
      <c r="U249" s="213">
        <v>433</v>
      </c>
      <c r="V249" s="113">
        <v>345.68</v>
      </c>
      <c r="W249" s="113">
        <f t="shared" si="42"/>
        <v>149679.44</v>
      </c>
      <c r="X249" s="99" t="s">
        <v>751</v>
      </c>
      <c r="AH249" s="20">
        <v>53</v>
      </c>
      <c r="AI249" s="20" t="s">
        <v>4975</v>
      </c>
      <c r="AJ249" s="117">
        <v>-2668880</v>
      </c>
      <c r="AK249" s="20">
        <v>0</v>
      </c>
      <c r="AL249" s="20">
        <f t="shared" si="51"/>
        <v>65</v>
      </c>
      <c r="AM249" s="20">
        <f t="shared" si="52"/>
        <v>-173477200</v>
      </c>
      <c r="AN249" s="20" t="s">
        <v>4977</v>
      </c>
      <c r="AP249" t="s">
        <v>25</v>
      </c>
    </row>
    <row r="250" spans="17:43">
      <c r="Q250" s="99" t="s">
        <v>4667</v>
      </c>
      <c r="R250" s="95">
        <v>7054895</v>
      </c>
      <c r="T250" s="213" t="s">
        <v>5114</v>
      </c>
      <c r="U250" s="213">
        <v>55459</v>
      </c>
      <c r="V250" s="113">
        <v>362.51978000000003</v>
      </c>
      <c r="W250" s="113">
        <f t="shared" si="42"/>
        <v>20104984.479020003</v>
      </c>
      <c r="X250" s="99" t="s">
        <v>452</v>
      </c>
      <c r="Y250" t="s">
        <v>25</v>
      </c>
      <c r="AH250" s="149">
        <v>54</v>
      </c>
      <c r="AI250" s="149" t="s">
        <v>4975</v>
      </c>
      <c r="AJ250" s="188">
        <v>-1528620</v>
      </c>
      <c r="AK250" s="149">
        <v>0</v>
      </c>
      <c r="AL250" s="149">
        <f t="shared" si="51"/>
        <v>65</v>
      </c>
      <c r="AM250" s="149">
        <f t="shared" si="52"/>
        <v>-99360300</v>
      </c>
      <c r="AN250" s="149" t="s">
        <v>4977</v>
      </c>
    </row>
    <row r="251" spans="17:43">
      <c r="Q251" s="99" t="s">
        <v>4691</v>
      </c>
      <c r="R251" s="95">
        <v>2145814</v>
      </c>
      <c r="T251" s="213" t="s">
        <v>5122</v>
      </c>
      <c r="U251" s="213">
        <v>-57212</v>
      </c>
      <c r="V251" s="113">
        <v>368.45400000000001</v>
      </c>
      <c r="W251" s="113">
        <f t="shared" si="42"/>
        <v>-21079990.248</v>
      </c>
      <c r="X251" s="99" t="s">
        <v>452</v>
      </c>
      <c r="Y251" t="s">
        <v>25</v>
      </c>
      <c r="AH251" s="20">
        <v>55</v>
      </c>
      <c r="AI251" s="20" t="s">
        <v>4975</v>
      </c>
      <c r="AJ251" s="117">
        <v>50000000</v>
      </c>
      <c r="AK251" s="20">
        <v>4</v>
      </c>
      <c r="AL251" s="20">
        <f t="shared" si="51"/>
        <v>65</v>
      </c>
      <c r="AM251" s="20">
        <f t="shared" si="52"/>
        <v>3250000000</v>
      </c>
      <c r="AN251" s="20"/>
    </row>
    <row r="252" spans="17:43">
      <c r="Q252" s="99" t="s">
        <v>4703</v>
      </c>
      <c r="R252" s="95">
        <v>4369730</v>
      </c>
      <c r="T252" s="213" t="s">
        <v>5125</v>
      </c>
      <c r="U252" s="213">
        <v>-15881</v>
      </c>
      <c r="V252" s="113">
        <v>374.61599999999999</v>
      </c>
      <c r="W252" s="113">
        <f t="shared" si="42"/>
        <v>-5949276.6959999995</v>
      </c>
      <c r="X252" s="99" t="s">
        <v>452</v>
      </c>
      <c r="AH252" s="20">
        <v>56</v>
      </c>
      <c r="AI252" s="20" t="s">
        <v>4981</v>
      </c>
      <c r="AJ252" s="117">
        <v>400000</v>
      </c>
      <c r="AK252" s="20">
        <v>4</v>
      </c>
      <c r="AL252" s="20">
        <f t="shared" ref="AL252:AL261" si="53">AK252+AL253</f>
        <v>61</v>
      </c>
      <c r="AM252" s="20">
        <f t="shared" ref="AM252:AM261" si="54">AJ252*AL252</f>
        <v>24400000</v>
      </c>
      <c r="AN252" s="20"/>
    </row>
    <row r="253" spans="17:43">
      <c r="Q253" s="99" t="s">
        <v>4705</v>
      </c>
      <c r="R253" s="95">
        <v>8739459</v>
      </c>
      <c r="T253" s="213" t="s">
        <v>5136</v>
      </c>
      <c r="U253" s="213">
        <v>-41289</v>
      </c>
      <c r="V253" s="113">
        <v>372.27</v>
      </c>
      <c r="W253" s="113">
        <f t="shared" si="42"/>
        <v>-15370656.029999999</v>
      </c>
      <c r="X253" s="99" t="s">
        <v>452</v>
      </c>
      <c r="AH253" s="20">
        <v>57</v>
      </c>
      <c r="AI253" s="20" t="s">
        <v>4995</v>
      </c>
      <c r="AJ253" s="117">
        <v>2000000</v>
      </c>
      <c r="AK253" s="20">
        <v>3</v>
      </c>
      <c r="AL253" s="20">
        <f t="shared" si="53"/>
        <v>57</v>
      </c>
      <c r="AM253" s="20">
        <f t="shared" si="54"/>
        <v>114000000</v>
      </c>
      <c r="AN253" s="20"/>
      <c r="AQ253" t="s">
        <v>25</v>
      </c>
    </row>
    <row r="254" spans="17:43">
      <c r="Q254" s="99" t="s">
        <v>4714</v>
      </c>
      <c r="R254" s="95">
        <v>6667654</v>
      </c>
      <c r="T254" s="213" t="s">
        <v>5151</v>
      </c>
      <c r="U254" s="213">
        <v>13563</v>
      </c>
      <c r="V254" s="113">
        <v>365.69799999999998</v>
      </c>
      <c r="W254" s="113">
        <f t="shared" si="42"/>
        <v>4959961.9739999995</v>
      </c>
      <c r="X254" s="99" t="s">
        <v>452</v>
      </c>
      <c r="AH254" s="20">
        <v>58</v>
      </c>
      <c r="AI254" s="20" t="s">
        <v>4998</v>
      </c>
      <c r="AJ254" s="117">
        <v>100000</v>
      </c>
      <c r="AK254" s="20">
        <v>4</v>
      </c>
      <c r="AL254" s="20">
        <f t="shared" si="53"/>
        <v>54</v>
      </c>
      <c r="AM254" s="20">
        <f t="shared" si="54"/>
        <v>5400000</v>
      </c>
      <c r="AN254" s="20" t="s">
        <v>3891</v>
      </c>
    </row>
    <row r="255" spans="17:43">
      <c r="Q255" s="99" t="s">
        <v>3684</v>
      </c>
      <c r="R255" s="95">
        <v>8981245</v>
      </c>
      <c r="T255" s="213" t="s">
        <v>5151</v>
      </c>
      <c r="U255" s="213">
        <v>27344</v>
      </c>
      <c r="V255" s="113">
        <v>365.69799999999998</v>
      </c>
      <c r="W255" s="113">
        <f t="shared" si="42"/>
        <v>9999646.1119999997</v>
      </c>
      <c r="X255" s="99" t="s">
        <v>452</v>
      </c>
      <c r="AH255" s="20">
        <v>59</v>
      </c>
      <c r="AI255" s="20" t="s">
        <v>5009</v>
      </c>
      <c r="AJ255" s="117">
        <v>100000</v>
      </c>
      <c r="AK255" s="20">
        <v>7</v>
      </c>
      <c r="AL255" s="20">
        <f t="shared" si="53"/>
        <v>50</v>
      </c>
      <c r="AM255" s="20">
        <f t="shared" si="54"/>
        <v>5000000</v>
      </c>
      <c r="AN255" s="20"/>
    </row>
    <row r="256" spans="17:43">
      <c r="Q256" s="99" t="s">
        <v>4727</v>
      </c>
      <c r="R256" s="95">
        <v>9181756</v>
      </c>
      <c r="T256" s="168"/>
      <c r="U256" s="168"/>
      <c r="V256" s="113"/>
      <c r="W256" s="113"/>
      <c r="X256" s="99"/>
      <c r="AH256" s="20">
        <v>60</v>
      </c>
      <c r="AI256" s="20" t="s">
        <v>5026</v>
      </c>
      <c r="AJ256" s="117">
        <v>50000</v>
      </c>
      <c r="AK256" s="20">
        <v>0</v>
      </c>
      <c r="AL256" s="20">
        <f t="shared" si="53"/>
        <v>43</v>
      </c>
      <c r="AM256" s="20">
        <f t="shared" si="54"/>
        <v>2150000</v>
      </c>
      <c r="AN256" s="20"/>
    </row>
    <row r="257" spans="17:45">
      <c r="Q257" s="99" t="s">
        <v>4731</v>
      </c>
      <c r="R257" s="95">
        <v>11811208</v>
      </c>
      <c r="T257" s="168"/>
      <c r="U257" s="168">
        <f>SUM(U168:U256)</f>
        <v>3697700</v>
      </c>
      <c r="V257" s="99"/>
      <c r="W257" s="99"/>
      <c r="X257" s="99"/>
      <c r="AH257" s="149">
        <v>61</v>
      </c>
      <c r="AI257" s="149" t="s">
        <v>5026</v>
      </c>
      <c r="AJ257" s="188">
        <v>50000</v>
      </c>
      <c r="AK257" s="149">
        <v>3</v>
      </c>
      <c r="AL257" s="149">
        <f t="shared" si="53"/>
        <v>43</v>
      </c>
      <c r="AM257" s="149">
        <f t="shared" si="54"/>
        <v>2150000</v>
      </c>
      <c r="AN257" s="149"/>
    </row>
    <row r="258" spans="17:45">
      <c r="Q258" s="99" t="s">
        <v>4745</v>
      </c>
      <c r="R258" s="95">
        <v>41248054</v>
      </c>
      <c r="T258" s="99"/>
      <c r="U258" s="99" t="s">
        <v>6</v>
      </c>
      <c r="V258" s="99"/>
      <c r="W258" s="99"/>
      <c r="X258" s="99"/>
      <c r="AH258" s="20">
        <v>62</v>
      </c>
      <c r="AI258" s="20" t="s">
        <v>5031</v>
      </c>
      <c r="AJ258" s="117">
        <v>50000</v>
      </c>
      <c r="AK258" s="20">
        <v>0</v>
      </c>
      <c r="AL258" s="20">
        <f t="shared" si="53"/>
        <v>40</v>
      </c>
      <c r="AM258" s="20">
        <f t="shared" si="54"/>
        <v>2000000</v>
      </c>
      <c r="AN258" s="20"/>
    </row>
    <row r="259" spans="17:45">
      <c r="Q259" s="99" t="s">
        <v>4753</v>
      </c>
      <c r="R259" s="95">
        <v>37328780</v>
      </c>
      <c r="T259" s="200" t="s">
        <v>4485</v>
      </c>
      <c r="AH259" s="195">
        <v>63</v>
      </c>
      <c r="AI259" s="195" t="s">
        <v>5031</v>
      </c>
      <c r="AJ259" s="196">
        <v>50000</v>
      </c>
      <c r="AK259" s="195">
        <v>2</v>
      </c>
      <c r="AL259" s="195">
        <f t="shared" si="53"/>
        <v>40</v>
      </c>
      <c r="AM259" s="195">
        <f t="shared" si="54"/>
        <v>2000000</v>
      </c>
      <c r="AN259" s="195"/>
    </row>
    <row r="260" spans="17:45">
      <c r="Q260" s="99" t="s">
        <v>4761</v>
      </c>
      <c r="R260" s="95">
        <v>50000000</v>
      </c>
      <c r="T260" s="199">
        <f>R181/U257</f>
        <v>371.33431443870512</v>
      </c>
      <c r="AH260" s="20">
        <v>64</v>
      </c>
      <c r="AI260" s="20" t="s">
        <v>5041</v>
      </c>
      <c r="AJ260" s="117">
        <v>25000</v>
      </c>
      <c r="AK260" s="20">
        <v>0</v>
      </c>
      <c r="AL260" s="20">
        <f t="shared" si="53"/>
        <v>38</v>
      </c>
      <c r="AM260" s="20">
        <f t="shared" si="54"/>
        <v>950000</v>
      </c>
      <c r="AN260" s="20"/>
    </row>
    <row r="261" spans="17:45">
      <c r="Q261" s="99" t="s">
        <v>4827</v>
      </c>
      <c r="R261" s="95">
        <v>68656</v>
      </c>
      <c r="W261" s="114"/>
      <c r="AH261" s="149">
        <v>65</v>
      </c>
      <c r="AI261" s="149" t="s">
        <v>5041</v>
      </c>
      <c r="AJ261" s="188">
        <v>35000</v>
      </c>
      <c r="AK261" s="149">
        <v>7</v>
      </c>
      <c r="AL261" s="149">
        <f t="shared" si="53"/>
        <v>38</v>
      </c>
      <c r="AM261" s="149">
        <f t="shared" si="54"/>
        <v>1330000</v>
      </c>
      <c r="AN261" s="149"/>
    </row>
    <row r="262" spans="17:45">
      <c r="Q262" s="99" t="s">
        <v>4841</v>
      </c>
      <c r="R262" s="95">
        <v>4000236</v>
      </c>
      <c r="U262" s="96" t="s">
        <v>267</v>
      </c>
      <c r="V262" t="s">
        <v>4486</v>
      </c>
      <c r="X262" t="s">
        <v>25</v>
      </c>
      <c r="AH262" s="149">
        <v>66</v>
      </c>
      <c r="AI262" s="149" t="s">
        <v>5053</v>
      </c>
      <c r="AJ262" s="188">
        <v>30000000</v>
      </c>
      <c r="AK262" s="149">
        <v>0</v>
      </c>
      <c r="AL262" s="149">
        <f t="shared" ref="AL262:AL285" si="55">AK262+AL263</f>
        <v>31</v>
      </c>
      <c r="AM262" s="149">
        <f t="shared" ref="AM262:AM285" si="56">AJ262*AL262</f>
        <v>930000000</v>
      </c>
      <c r="AN262" s="149"/>
    </row>
    <row r="263" spans="17:45">
      <c r="Q263" s="99" t="s">
        <v>4841</v>
      </c>
      <c r="R263" s="95">
        <v>2250000</v>
      </c>
      <c r="T263" s="114"/>
      <c r="U263" s="113">
        <v>10000000</v>
      </c>
      <c r="V263">
        <f>U263/T260</f>
        <v>26929.910894756984</v>
      </c>
      <c r="X263" t="s">
        <v>25</v>
      </c>
      <c r="AH263" s="20">
        <v>67</v>
      </c>
      <c r="AI263" s="20" t="s">
        <v>5053</v>
      </c>
      <c r="AJ263" s="117">
        <v>6800000</v>
      </c>
      <c r="AK263" s="20">
        <v>1</v>
      </c>
      <c r="AL263" s="20">
        <f t="shared" si="55"/>
        <v>31</v>
      </c>
      <c r="AM263" s="20">
        <f t="shared" si="56"/>
        <v>210800000</v>
      </c>
      <c r="AN263" s="20"/>
    </row>
    <row r="264" spans="17:45">
      <c r="Q264" s="99" t="s">
        <v>4846</v>
      </c>
      <c r="R264" s="95">
        <v>-2512200</v>
      </c>
      <c r="X264" t="s">
        <v>25</v>
      </c>
      <c r="AH264" s="20">
        <v>68</v>
      </c>
      <c r="AI264" s="20" t="s">
        <v>5061</v>
      </c>
      <c r="AJ264" s="117">
        <v>500000</v>
      </c>
      <c r="AK264" s="20">
        <v>1</v>
      </c>
      <c r="AL264" s="20">
        <f t="shared" si="55"/>
        <v>30</v>
      </c>
      <c r="AM264" s="20">
        <f t="shared" si="56"/>
        <v>15000000</v>
      </c>
      <c r="AN264" s="20"/>
    </row>
    <row r="265" spans="17:45">
      <c r="Q265" s="99" t="s">
        <v>4855</v>
      </c>
      <c r="R265" s="95">
        <v>300000</v>
      </c>
      <c r="W265" s="223"/>
      <c r="X265" s="96" t="s">
        <v>25</v>
      </c>
      <c r="AH265" s="20">
        <v>69</v>
      </c>
      <c r="AI265" s="20" t="s">
        <v>5069</v>
      </c>
      <c r="AJ265" s="117">
        <v>850000</v>
      </c>
      <c r="AK265" s="20">
        <v>5</v>
      </c>
      <c r="AL265" s="20">
        <f t="shared" si="55"/>
        <v>29</v>
      </c>
      <c r="AM265" s="20">
        <f t="shared" si="56"/>
        <v>24650000</v>
      </c>
      <c r="AN265" s="20"/>
    </row>
    <row r="266" spans="17:45">
      <c r="Q266" s="99" t="s">
        <v>981</v>
      </c>
      <c r="R266" s="95">
        <v>1100000</v>
      </c>
      <c r="X266" t="s">
        <v>25</v>
      </c>
      <c r="AH266" s="20">
        <v>70</v>
      </c>
      <c r="AI266" s="20" t="s">
        <v>5079</v>
      </c>
      <c r="AJ266" s="117">
        <v>1130250</v>
      </c>
      <c r="AK266" s="20">
        <v>0</v>
      </c>
      <c r="AL266" s="20">
        <f t="shared" si="55"/>
        <v>24</v>
      </c>
      <c r="AM266" s="20">
        <f t="shared" si="56"/>
        <v>27126000</v>
      </c>
      <c r="AN266" s="20"/>
    </row>
    <row r="267" spans="17:45">
      <c r="Q267" s="99" t="s">
        <v>4864</v>
      </c>
      <c r="R267" s="95">
        <v>890000</v>
      </c>
      <c r="X267" t="s">
        <v>25</v>
      </c>
      <c r="Y267" t="s">
        <v>25</v>
      </c>
      <c r="AH267" s="261">
        <v>71</v>
      </c>
      <c r="AI267" s="261" t="s">
        <v>5079</v>
      </c>
      <c r="AJ267" s="252">
        <v>30000</v>
      </c>
      <c r="AK267" s="261">
        <v>5</v>
      </c>
      <c r="AL267" s="261">
        <f t="shared" si="55"/>
        <v>24</v>
      </c>
      <c r="AM267" s="261">
        <f t="shared" si="56"/>
        <v>720000</v>
      </c>
      <c r="AN267" s="261"/>
      <c r="AS267" t="s">
        <v>25</v>
      </c>
    </row>
    <row r="268" spans="17:45" ht="60">
      <c r="Q268" s="99" t="s">
        <v>4885</v>
      </c>
      <c r="R268" s="95">
        <v>1000000</v>
      </c>
      <c r="T268" s="22" t="s">
        <v>4469</v>
      </c>
      <c r="V268" s="223"/>
      <c r="AH268" s="20">
        <v>72</v>
      </c>
      <c r="AI268" s="20" t="s">
        <v>5096</v>
      </c>
      <c r="AJ268" s="117">
        <v>206000</v>
      </c>
      <c r="AK268" s="20">
        <v>0</v>
      </c>
      <c r="AL268" s="20">
        <f t="shared" si="55"/>
        <v>19</v>
      </c>
      <c r="AM268" s="20">
        <f t="shared" si="56"/>
        <v>3914000</v>
      </c>
      <c r="AN268" s="20"/>
    </row>
    <row r="269" spans="17:45" ht="45">
      <c r="Q269" s="99" t="s">
        <v>4886</v>
      </c>
      <c r="R269" s="95">
        <v>45436311</v>
      </c>
      <c r="T269" s="22" t="s">
        <v>4470</v>
      </c>
      <c r="AH269" s="149">
        <v>73</v>
      </c>
      <c r="AI269" s="149" t="s">
        <v>5096</v>
      </c>
      <c r="AJ269" s="188">
        <v>206000</v>
      </c>
      <c r="AK269" s="149">
        <v>2</v>
      </c>
      <c r="AL269" s="149">
        <f t="shared" si="55"/>
        <v>19</v>
      </c>
      <c r="AM269" s="149">
        <f t="shared" si="56"/>
        <v>3914000</v>
      </c>
      <c r="AN269" s="149"/>
    </row>
    <row r="270" spans="17:45">
      <c r="Q270" s="99" t="s">
        <v>4886</v>
      </c>
      <c r="R270" s="95">
        <v>-3500000</v>
      </c>
      <c r="AH270" s="20">
        <v>74</v>
      </c>
      <c r="AI270" s="20" t="s">
        <v>5106</v>
      </c>
      <c r="AJ270" s="117">
        <v>50000</v>
      </c>
      <c r="AK270" s="20">
        <v>0</v>
      </c>
      <c r="AL270" s="20">
        <f t="shared" si="55"/>
        <v>17</v>
      </c>
      <c r="AM270" s="20">
        <f t="shared" si="56"/>
        <v>850000</v>
      </c>
      <c r="AN270" s="20"/>
    </row>
    <row r="271" spans="17:45">
      <c r="Q271" s="99" t="s">
        <v>4901</v>
      </c>
      <c r="R271" s="95">
        <v>2520000</v>
      </c>
      <c r="AH271" s="261">
        <v>75</v>
      </c>
      <c r="AI271" s="261" t="s">
        <v>5106</v>
      </c>
      <c r="AJ271" s="252">
        <v>50000</v>
      </c>
      <c r="AK271" s="261">
        <v>2</v>
      </c>
      <c r="AL271" s="261">
        <f t="shared" si="55"/>
        <v>17</v>
      </c>
      <c r="AM271" s="261">
        <f t="shared" si="56"/>
        <v>850000</v>
      </c>
      <c r="AN271" s="261"/>
      <c r="AR271" t="s">
        <v>25</v>
      </c>
    </row>
    <row r="272" spans="17:45">
      <c r="Q272" s="99" t="s">
        <v>4938</v>
      </c>
      <c r="R272" s="95">
        <v>4900000</v>
      </c>
      <c r="T272" s="99" t="s">
        <v>4487</v>
      </c>
      <c r="U272" s="99" t="s">
        <v>4458</v>
      </c>
      <c r="V272" s="99" t="s">
        <v>953</v>
      </c>
      <c r="AH272" s="20">
        <v>76</v>
      </c>
      <c r="AI272" s="20" t="s">
        <v>5114</v>
      </c>
      <c r="AJ272" s="117">
        <v>20000000</v>
      </c>
      <c r="AK272" s="20">
        <v>7</v>
      </c>
      <c r="AL272" s="20">
        <f t="shared" si="55"/>
        <v>15</v>
      </c>
      <c r="AM272" s="20">
        <f t="shared" si="56"/>
        <v>300000000</v>
      </c>
      <c r="AN272" s="20" t="s">
        <v>5115</v>
      </c>
    </row>
    <row r="273" spans="17:40">
      <c r="Q273" s="99" t="s">
        <v>4961</v>
      </c>
      <c r="R273" s="95">
        <v>1150000</v>
      </c>
      <c r="T273" s="95">
        <f>S201+R237+R289</f>
        <v>933463136</v>
      </c>
      <c r="U273" s="95">
        <f>R181</f>
        <v>1373082894.5</v>
      </c>
      <c r="V273" s="95">
        <f>U273-T273</f>
        <v>439619758.5</v>
      </c>
      <c r="AH273" s="20">
        <v>77</v>
      </c>
      <c r="AI273" s="20" t="s">
        <v>5136</v>
      </c>
      <c r="AJ273" s="117">
        <v>50000</v>
      </c>
      <c r="AK273" s="20">
        <v>0</v>
      </c>
      <c r="AL273" s="20">
        <f t="shared" si="55"/>
        <v>8</v>
      </c>
      <c r="AM273" s="20">
        <f t="shared" si="56"/>
        <v>400000</v>
      </c>
      <c r="AN273" s="20"/>
    </row>
    <row r="274" spans="17:40">
      <c r="Q274" s="99" t="s">
        <v>4910</v>
      </c>
      <c r="R274" s="95">
        <v>250000</v>
      </c>
      <c r="AH274" s="149">
        <v>78</v>
      </c>
      <c r="AI274" s="149" t="s">
        <v>5136</v>
      </c>
      <c r="AJ274" s="188">
        <v>50000</v>
      </c>
      <c r="AK274" s="149">
        <v>7</v>
      </c>
      <c r="AL274" s="149">
        <f t="shared" si="55"/>
        <v>8</v>
      </c>
      <c r="AM274" s="149">
        <f t="shared" si="56"/>
        <v>400000</v>
      </c>
      <c r="AN274" s="149"/>
    </row>
    <row r="275" spans="17:40">
      <c r="Q275" s="99" t="s">
        <v>5004</v>
      </c>
      <c r="R275" s="95">
        <v>1403460</v>
      </c>
      <c r="AH275" s="20">
        <v>79</v>
      </c>
      <c r="AI275" s="20" t="s">
        <v>5151</v>
      </c>
      <c r="AJ275" s="117">
        <v>2480000</v>
      </c>
      <c r="AK275" s="20">
        <v>0</v>
      </c>
      <c r="AL275" s="20">
        <f t="shared" si="55"/>
        <v>1</v>
      </c>
      <c r="AM275" s="20">
        <f t="shared" si="56"/>
        <v>2480000</v>
      </c>
      <c r="AN275" s="20"/>
    </row>
    <row r="276" spans="17:40">
      <c r="Q276" s="99" t="s">
        <v>5009</v>
      </c>
      <c r="R276" s="95">
        <v>200000</v>
      </c>
      <c r="AH276" s="149">
        <v>80</v>
      </c>
      <c r="AI276" s="149" t="s">
        <v>5151</v>
      </c>
      <c r="AJ276" s="188">
        <v>2480000</v>
      </c>
      <c r="AK276" s="149">
        <v>1</v>
      </c>
      <c r="AL276" s="149">
        <f t="shared" si="55"/>
        <v>1</v>
      </c>
      <c r="AM276" s="149">
        <f t="shared" si="56"/>
        <v>2480000</v>
      </c>
      <c r="AN276" s="149"/>
    </row>
    <row r="277" spans="17:40">
      <c r="Q277" s="99" t="s">
        <v>5016</v>
      </c>
      <c r="R277" s="95">
        <v>345000</v>
      </c>
      <c r="AH277" s="20"/>
      <c r="AI277" s="20"/>
      <c r="AJ277" s="117"/>
      <c r="AK277" s="20"/>
      <c r="AL277" s="20">
        <f t="shared" si="55"/>
        <v>0</v>
      </c>
      <c r="AM277" s="20">
        <f t="shared" si="56"/>
        <v>0</v>
      </c>
      <c r="AN277" s="20"/>
    </row>
    <row r="278" spans="17:40">
      <c r="Q278" s="99" t="s">
        <v>5022</v>
      </c>
      <c r="R278" s="95">
        <v>900000</v>
      </c>
      <c r="T278" t="s">
        <v>25</v>
      </c>
      <c r="AH278" s="20"/>
      <c r="AI278" s="20"/>
      <c r="AJ278" s="117"/>
      <c r="AK278" s="20"/>
      <c r="AL278" s="20">
        <f t="shared" si="55"/>
        <v>0</v>
      </c>
      <c r="AM278" s="20">
        <f t="shared" si="56"/>
        <v>0</v>
      </c>
      <c r="AN278" s="20"/>
    </row>
    <row r="279" spans="17:40">
      <c r="Q279" s="99" t="s">
        <v>5026</v>
      </c>
      <c r="R279" s="95">
        <v>372517</v>
      </c>
      <c r="T279" t="s">
        <v>25</v>
      </c>
      <c r="AH279" s="20"/>
      <c r="AI279" s="20"/>
      <c r="AJ279" s="117"/>
      <c r="AK279" s="20"/>
      <c r="AL279" s="20">
        <f t="shared" si="55"/>
        <v>0</v>
      </c>
      <c r="AM279" s="20">
        <f t="shared" si="56"/>
        <v>0</v>
      </c>
      <c r="AN279" s="20"/>
    </row>
    <row r="280" spans="17:40">
      <c r="Q280" s="99" t="s">
        <v>5038</v>
      </c>
      <c r="R280" s="95">
        <v>6489257</v>
      </c>
      <c r="AH280" s="20"/>
      <c r="AI280" s="20"/>
      <c r="AJ280" s="117"/>
      <c r="AK280" s="20"/>
      <c r="AL280" s="20">
        <f t="shared" si="55"/>
        <v>0</v>
      </c>
      <c r="AM280" s="20">
        <f t="shared" si="56"/>
        <v>0</v>
      </c>
      <c r="AN280" s="20"/>
    </row>
    <row r="281" spans="17:40">
      <c r="Q281" s="99" t="s">
        <v>5096</v>
      </c>
      <c r="R281" s="95">
        <v>618000</v>
      </c>
      <c r="T281" t="s">
        <v>25</v>
      </c>
      <c r="AH281" s="20"/>
      <c r="AI281" s="20"/>
      <c r="AJ281" s="117"/>
      <c r="AK281" s="20"/>
      <c r="AL281" s="20">
        <f t="shared" si="55"/>
        <v>0</v>
      </c>
      <c r="AM281" s="20">
        <f t="shared" si="56"/>
        <v>0</v>
      </c>
      <c r="AN281" s="20"/>
    </row>
    <row r="282" spans="17:40">
      <c r="Q282" s="99" t="s">
        <v>5114</v>
      </c>
      <c r="R282" s="95">
        <v>20105000</v>
      </c>
      <c r="T282" t="s">
        <v>25</v>
      </c>
      <c r="AH282" s="20"/>
      <c r="AI282" s="20"/>
      <c r="AJ282" s="117"/>
      <c r="AK282" s="20"/>
      <c r="AL282" s="20">
        <f t="shared" si="55"/>
        <v>0</v>
      </c>
      <c r="AM282" s="20">
        <f t="shared" si="56"/>
        <v>0</v>
      </c>
      <c r="AN282" s="20"/>
    </row>
    <row r="283" spans="17:40">
      <c r="Q283" s="99" t="s">
        <v>5122</v>
      </c>
      <c r="R283" s="95">
        <v>-21079990</v>
      </c>
      <c r="S283" s="114"/>
      <c r="AH283" s="20"/>
      <c r="AI283" s="20"/>
      <c r="AJ283" s="117"/>
      <c r="AK283" s="20"/>
      <c r="AL283" s="20">
        <f t="shared" si="55"/>
        <v>0</v>
      </c>
      <c r="AM283" s="20">
        <f t="shared" si="56"/>
        <v>0</v>
      </c>
      <c r="AN283" s="20"/>
    </row>
    <row r="284" spans="17:40">
      <c r="Q284" s="99" t="s">
        <v>5125</v>
      </c>
      <c r="R284" s="95">
        <v>-5949277</v>
      </c>
      <c r="AH284" s="99"/>
      <c r="AI284" s="99"/>
      <c r="AJ284" s="117"/>
      <c r="AK284" s="99"/>
      <c r="AL284" s="20">
        <f t="shared" si="55"/>
        <v>0</v>
      </c>
      <c r="AM284" s="20">
        <f t="shared" si="56"/>
        <v>0</v>
      </c>
      <c r="AN284" s="20"/>
    </row>
    <row r="285" spans="17:40">
      <c r="Q285" s="99" t="s">
        <v>5136</v>
      </c>
      <c r="R285" s="95">
        <v>-15370656</v>
      </c>
      <c r="T285" t="s">
        <v>25</v>
      </c>
      <c r="AH285" s="99"/>
      <c r="AI285" s="99"/>
      <c r="AJ285" s="117"/>
      <c r="AK285" s="99"/>
      <c r="AL285" s="99">
        <f t="shared" si="55"/>
        <v>0</v>
      </c>
      <c r="AM285" s="99">
        <f t="shared" si="56"/>
        <v>0</v>
      </c>
      <c r="AN285" s="99"/>
    </row>
    <row r="286" spans="17:40">
      <c r="Q286" s="99" t="s">
        <v>5151</v>
      </c>
      <c r="R286" s="95">
        <v>4960000</v>
      </c>
      <c r="T286" t="s">
        <v>25</v>
      </c>
      <c r="AH286" s="99"/>
      <c r="AI286" s="99"/>
      <c r="AJ286" s="95">
        <f>SUM(AJ197:AJ285)</f>
        <v>423161848</v>
      </c>
      <c r="AK286" s="99"/>
      <c r="AL286" s="99"/>
      <c r="AM286" s="99">
        <f>SUM(AM197:AM285)</f>
        <v>49878929069</v>
      </c>
      <c r="AN286" s="95">
        <f>AM286*AN183/31</f>
        <v>26817164.864291068</v>
      </c>
    </row>
    <row r="287" spans="17:40">
      <c r="Q287" s="99" t="s">
        <v>5151</v>
      </c>
      <c r="R287" s="95">
        <v>10000000</v>
      </c>
      <c r="W287" s="96" t="s">
        <v>25</v>
      </c>
      <c r="AJ287" t="s">
        <v>4059</v>
      </c>
      <c r="AM287" t="s">
        <v>284</v>
      </c>
      <c r="AN287" t="s">
        <v>943</v>
      </c>
    </row>
    <row r="288" spans="17:40">
      <c r="Q288" s="99"/>
      <c r="R288" s="95"/>
      <c r="T288" t="s">
        <v>25</v>
      </c>
    </row>
    <row r="289" spans="16:40">
      <c r="Q289" s="99"/>
      <c r="R289" s="95">
        <f>SUM(R242:R288)</f>
        <v>424956256</v>
      </c>
      <c r="T289" t="s">
        <v>25</v>
      </c>
      <c r="AI289" t="s">
        <v>4061</v>
      </c>
      <c r="AJ289" s="114">
        <f>AJ286+AN286</f>
        <v>449979012.86429107</v>
      </c>
    </row>
    <row r="290" spans="16:40">
      <c r="Q290" s="99"/>
      <c r="R290" s="99" t="s">
        <v>6</v>
      </c>
      <c r="AI290" t="s">
        <v>4064</v>
      </c>
      <c r="AJ290" s="114">
        <f>SUM(N20:N33)</f>
        <v>563274852.10000014</v>
      </c>
    </row>
    <row r="291" spans="16:40">
      <c r="T291" t="s">
        <v>25</v>
      </c>
      <c r="AI291" t="s">
        <v>4136</v>
      </c>
      <c r="AJ291" s="114">
        <f>AJ290-AJ286</f>
        <v>140113004.10000014</v>
      </c>
    </row>
    <row r="292" spans="16:40">
      <c r="T292" t="s">
        <v>25</v>
      </c>
      <c r="AI292" t="s">
        <v>943</v>
      </c>
      <c r="AJ292" s="114">
        <f>AN286</f>
        <v>26817164.864291068</v>
      </c>
    </row>
    <row r="293" spans="16:40">
      <c r="T293" t="s">
        <v>25</v>
      </c>
      <c r="AI293" t="s">
        <v>4065</v>
      </c>
      <c r="AJ293" s="114">
        <f>AJ291-AJ292</f>
        <v>113295839.23570907</v>
      </c>
      <c r="AN293" t="s">
        <v>25</v>
      </c>
    </row>
    <row r="294" spans="16:40">
      <c r="T294" t="s">
        <v>25</v>
      </c>
      <c r="AN294" t="s">
        <v>25</v>
      </c>
    </row>
    <row r="297" spans="16:40">
      <c r="AN297" t="s">
        <v>25</v>
      </c>
    </row>
    <row r="298" spans="16:40">
      <c r="R298"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33" zoomScale="90" zoomScaleNormal="90" workbookViewId="0">
      <selection activeCell="S154" sqref="S15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5136</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t="s">
        <v>5145</v>
      </c>
      <c r="B65" s="95">
        <v>4520000</v>
      </c>
      <c r="C65" s="95">
        <v>4620000</v>
      </c>
      <c r="D65" s="95">
        <v>12950</v>
      </c>
      <c r="E65" s="95">
        <v>13150</v>
      </c>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4686</v>
      </c>
      <c r="AA73" s="96">
        <v>228.4</v>
      </c>
      <c r="AB73" s="96">
        <f>Z73/AA73</f>
        <v>20.516637478108581</v>
      </c>
      <c r="AC73" s="96">
        <f>AB73/$X$66</f>
        <v>0.84497235862393705</v>
      </c>
      <c r="AD73" s="96">
        <f>AB73/1.03</f>
        <v>19.919065512726778</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5133</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5134</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5135</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5142</v>
      </c>
      <c r="J146" s="220">
        <f>L146-L145+15482124</f>
        <v>-6662026</v>
      </c>
      <c r="K146" s="219" t="s">
        <v>5136</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5145</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5147</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5149</v>
      </c>
      <c r="L149" s="84">
        <v>740819252</v>
      </c>
      <c r="M149" s="84">
        <v>470305993</v>
      </c>
      <c r="N149" s="113">
        <f t="shared" si="33"/>
        <v>1211125245</v>
      </c>
      <c r="O149" s="113">
        <f t="shared" si="35"/>
        <v>-1758760</v>
      </c>
      <c r="P149" s="113">
        <f t="shared" si="36"/>
        <v>-3863586</v>
      </c>
      <c r="Q149" s="229">
        <v>0</v>
      </c>
      <c r="V149" t="s">
        <v>25</v>
      </c>
    </row>
    <row r="150" spans="9:23">
      <c r="I150" s="189" t="s">
        <v>5152</v>
      </c>
      <c r="J150" s="188">
        <f t="shared" si="34"/>
        <v>19640187</v>
      </c>
      <c r="K150" s="189" t="s">
        <v>5151</v>
      </c>
      <c r="L150" s="239">
        <v>760459439</v>
      </c>
      <c r="M150" s="239">
        <v>480341526</v>
      </c>
      <c r="N150" s="188">
        <f t="shared" si="33"/>
        <v>1240800965</v>
      </c>
      <c r="O150" s="188">
        <f>M150-M149-2480000</f>
        <v>7555533</v>
      </c>
      <c r="P150" s="188">
        <f>N150-N149-2480000</f>
        <v>27195720</v>
      </c>
      <c r="Q150" s="229">
        <v>2480000</v>
      </c>
    </row>
    <row r="151" spans="9:23">
      <c r="I151" s="213"/>
      <c r="J151" s="113">
        <f t="shared" si="34"/>
        <v>-760459439</v>
      </c>
      <c r="K151" s="213">
        <v>0</v>
      </c>
      <c r="L151" s="84">
        <v>0</v>
      </c>
      <c r="M151" s="84">
        <v>0</v>
      </c>
      <c r="N151" s="113">
        <f t="shared" si="33"/>
        <v>0</v>
      </c>
      <c r="O151" s="113">
        <f t="shared" si="35"/>
        <v>-480341526</v>
      </c>
      <c r="P151" s="113">
        <f t="shared" si="36"/>
        <v>-1240800965</v>
      </c>
    </row>
    <row r="152" spans="9:23">
      <c r="I152" s="213"/>
      <c r="J152" s="113">
        <f t="shared" si="34"/>
        <v>0</v>
      </c>
      <c r="K152" s="213">
        <v>0</v>
      </c>
      <c r="L152" s="84">
        <v>0</v>
      </c>
      <c r="M152" s="84">
        <v>0</v>
      </c>
      <c r="N152" s="113">
        <f t="shared" si="33"/>
        <v>0</v>
      </c>
      <c r="O152" s="113">
        <f t="shared" si="35"/>
        <v>0</v>
      </c>
      <c r="P152" s="113">
        <f t="shared" si="36"/>
        <v>0</v>
      </c>
    </row>
    <row r="153" spans="9:23">
      <c r="I153" s="213"/>
      <c r="J153" s="113">
        <f t="shared" si="34"/>
        <v>0</v>
      </c>
      <c r="K153" s="213">
        <v>0</v>
      </c>
      <c r="L153" s="84">
        <v>0</v>
      </c>
      <c r="M153" s="84">
        <v>0</v>
      </c>
      <c r="N153" s="113">
        <f t="shared" si="33"/>
        <v>0</v>
      </c>
      <c r="O153" s="113">
        <f t="shared" si="35"/>
        <v>0</v>
      </c>
      <c r="P153" s="113">
        <f t="shared" si="36"/>
        <v>0</v>
      </c>
    </row>
    <row r="154" spans="9:23">
      <c r="I154" s="213"/>
      <c r="J154" s="113">
        <f t="shared" si="34"/>
        <v>0</v>
      </c>
      <c r="K154" s="213">
        <v>0</v>
      </c>
      <c r="L154" s="84">
        <v>0</v>
      </c>
      <c r="M154" s="84">
        <v>0</v>
      </c>
      <c r="N154" s="113">
        <f t="shared" si="33"/>
        <v>0</v>
      </c>
      <c r="O154" s="113">
        <f t="shared" si="35"/>
        <v>0</v>
      </c>
      <c r="P154" s="113">
        <f t="shared" si="36"/>
        <v>0</v>
      </c>
      <c r="S154" s="114">
        <f>N150-Q145-Q146</f>
        <v>1296658239</v>
      </c>
    </row>
    <row r="155" spans="9:23">
      <c r="I155" s="213"/>
      <c r="J155" s="113">
        <f t="shared" si="34"/>
        <v>0</v>
      </c>
      <c r="K155" s="213">
        <v>0</v>
      </c>
      <c r="L155" s="84">
        <v>0</v>
      </c>
      <c r="M155" s="84">
        <v>0</v>
      </c>
      <c r="N155" s="113">
        <f t="shared" si="33"/>
        <v>0</v>
      </c>
      <c r="O155" s="113">
        <f t="shared" si="35"/>
        <v>0</v>
      </c>
      <c r="P155" s="113">
        <f t="shared" si="36"/>
        <v>0</v>
      </c>
    </row>
    <row r="156" spans="9:23">
      <c r="I156" s="213"/>
      <c r="J156" s="113">
        <f t="shared" si="34"/>
        <v>0</v>
      </c>
      <c r="K156" s="213">
        <v>0</v>
      </c>
      <c r="L156" s="84">
        <v>0</v>
      </c>
      <c r="M156" s="84">
        <v>0</v>
      </c>
      <c r="N156" s="113">
        <f t="shared" si="33"/>
        <v>0</v>
      </c>
      <c r="O156" s="113">
        <f t="shared" si="35"/>
        <v>0</v>
      </c>
      <c r="P156" s="113">
        <f t="shared" si="36"/>
        <v>0</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5126</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2019-07-10T20:44:41Z</dcterms:modified>
</cp:coreProperties>
</file>