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لیست خرید و فروش" sheetId="32" r:id="rId40"/>
    <sheet name="اوراق بدون ریسک" sheetId="33" r:id="rId41"/>
    <sheet name="نکات" sheetId="35" r:id="rId42"/>
    <sheet name="سکه" sheetId="36" r:id="rId43"/>
    <sheet name="apply" sheetId="37" r:id="rId44"/>
    <sheet name="بیمه" sheetId="39" r:id="rId45"/>
    <sheet name="آرشیو قیمت ارجینال" sheetId="40" r:id="rId46"/>
    <sheet name="تحلیل1" sheetId="41" r:id="rId47"/>
  </sheets>
  <calcPr calcId="145621"/>
</workbook>
</file>

<file path=xl/calcChain.xml><?xml version="1.0" encoding="utf-8"?>
<calcChain xmlns="http://schemas.openxmlformats.org/spreadsheetml/2006/main">
  <c r="Q43" i="18" l="1"/>
  <c r="R43" i="18"/>
  <c r="S37" i="18"/>
  <c r="T16" i="49" l="1"/>
  <c r="P16" i="49" l="1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D71" i="48"/>
  <c r="N37" i="18"/>
  <c r="AH83" i="18"/>
  <c r="N22" i="33"/>
  <c r="D22" i="33" s="1"/>
  <c r="K22" i="33" l="1"/>
  <c r="G22" i="33"/>
  <c r="C22" i="33"/>
  <c r="B22" i="33"/>
  <c r="I22" i="33"/>
  <c r="L22" i="33"/>
  <c r="H22" i="33"/>
  <c r="R22" i="33"/>
  <c r="J22" i="33"/>
  <c r="F22" i="33"/>
  <c r="E22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Q19" i="49" l="1"/>
  <c r="P19" i="49" s="1"/>
  <c r="S17" i="49"/>
  <c r="R17" i="49" s="1"/>
  <c r="U16" i="49"/>
  <c r="U17" i="49" s="1"/>
  <c r="T17" i="49" s="1"/>
  <c r="U18" i="49" s="1"/>
  <c r="T18" i="49" s="1"/>
  <c r="P21" i="18"/>
  <c r="N21" i="18" s="1"/>
  <c r="P20" i="18"/>
  <c r="N20" i="18" s="1"/>
  <c r="N36" i="18"/>
  <c r="P19" i="18"/>
  <c r="N19" i="18" s="1"/>
  <c r="B263" i="15"/>
  <c r="Q20" i="49" l="1"/>
  <c r="P20" i="49" s="1"/>
  <c r="S18" i="49"/>
  <c r="R18" i="49" s="1"/>
  <c r="U19" i="49"/>
  <c r="T19" i="49" s="1"/>
  <c r="S33" i="18"/>
  <c r="Q21" i="49" l="1"/>
  <c r="P21" i="49" s="1"/>
  <c r="S19" i="49"/>
  <c r="R19" i="49" s="1"/>
  <c r="S20" i="49" s="1"/>
  <c r="R20" i="49" s="1"/>
  <c r="S21" i="49" s="1"/>
  <c r="R21" i="49" s="1"/>
  <c r="U20" i="49"/>
  <c r="T20" i="49" s="1"/>
  <c r="N35" i="18"/>
  <c r="Q22" i="49" l="1"/>
  <c r="P22" i="49"/>
  <c r="U21" i="49"/>
  <c r="T21" i="49" s="1"/>
  <c r="S22" i="49"/>
  <c r="R22" i="49" s="1"/>
  <c r="S34" i="18"/>
  <c r="S35" i="18" s="1"/>
  <c r="S36" i="18" s="1"/>
  <c r="P34" i="18"/>
  <c r="Q23" i="49" l="1"/>
  <c r="P23" i="49"/>
  <c r="U22" i="49"/>
  <c r="T22" i="49" s="1"/>
  <c r="S23" i="49"/>
  <c r="R23" i="49" s="1"/>
  <c r="C8" i="36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AP24" i="18"/>
  <c r="N24" i="33" l="1"/>
  <c r="N23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4" i="33"/>
  <c r="G24" i="33"/>
  <c r="J24" i="33"/>
  <c r="H24" i="33"/>
  <c r="D24" i="33"/>
  <c r="C24" i="33"/>
  <c r="I24" i="33"/>
  <c r="E24" i="33"/>
  <c r="F24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3" i="33"/>
  <c r="H23" i="33"/>
  <c r="D23" i="33"/>
  <c r="C23" i="33"/>
  <c r="K23" i="33"/>
  <c r="I23" i="33"/>
  <c r="E23" i="33"/>
  <c r="J23" i="33"/>
  <c r="F23" i="33"/>
  <c r="G23" i="33"/>
  <c r="L21" i="33"/>
  <c r="B20" i="33"/>
  <c r="L23" i="33"/>
  <c r="R21" i="33"/>
  <c r="R17" i="33"/>
  <c r="B24" i="33"/>
  <c r="R9" i="33"/>
  <c r="B18" i="33"/>
  <c r="L20" i="33"/>
  <c r="B23" i="33"/>
  <c r="R24" i="33"/>
  <c r="R19" i="33"/>
  <c r="B3" i="33"/>
  <c r="L9" i="33"/>
  <c r="B19" i="33"/>
  <c r="R20" i="33"/>
  <c r="L3" i="33"/>
  <c r="L19" i="33"/>
  <c r="L24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N27" i="18"/>
  <c r="L25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82" i="18" l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82" i="18" l="1"/>
  <c r="AJ81" i="18"/>
  <c r="N2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AJ80" i="18" l="1"/>
  <c r="AK81" i="18"/>
  <c r="I218" i="20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AK80" i="18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P43" i="18"/>
  <c r="P44" i="18" s="1"/>
  <c r="N44" i="18" s="1"/>
  <c r="AJ76" i="18" l="1"/>
  <c r="AK77" i="18"/>
  <c r="N43" i="18"/>
  <c r="AJ75" i="18" l="1"/>
  <c r="AK76" i="18"/>
  <c r="N33" i="18"/>
  <c r="Q39" i="18" s="1"/>
  <c r="AJ74" i="18" l="1"/>
  <c r="AK75" i="18"/>
  <c r="AH89" i="18"/>
  <c r="AH90" i="18" s="1"/>
  <c r="AJ73" i="18" l="1"/>
  <c r="AK74" i="18"/>
  <c r="U44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AK53" i="18" l="1"/>
  <c r="AJ52" i="18"/>
  <c r="B27" i="48"/>
  <c r="D2" i="48"/>
  <c r="I2" i="48" s="1"/>
  <c r="I28" i="48" s="1"/>
  <c r="G2" i="48"/>
  <c r="G28" i="48" s="1"/>
  <c r="H33" i="48" s="1"/>
  <c r="I2" i="46"/>
  <c r="I30" i="46" s="1"/>
  <c r="I35" i="46" s="1"/>
  <c r="H35" i="46"/>
  <c r="E32" i="14"/>
  <c r="G32" i="14" s="1"/>
  <c r="G33" i="14"/>
  <c r="D64" i="43"/>
  <c r="AJ51" i="18" l="1"/>
  <c r="AK52" i="18"/>
  <c r="I33" i="48"/>
  <c r="D27" i="48"/>
  <c r="E253" i="15"/>
  <c r="E252" i="15"/>
  <c r="AJ50" i="18" l="1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6" i="33"/>
  <c r="J54" i="33"/>
  <c r="J53" i="33"/>
  <c r="AJ36" i="18" l="1"/>
  <c r="AK37" i="18"/>
  <c r="L56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K22" i="18"/>
  <c r="E175" i="13"/>
  <c r="G176" i="13"/>
  <c r="F241" i="15"/>
  <c r="D240" i="15"/>
  <c r="D164" i="20"/>
  <c r="AK21" i="18" l="1"/>
  <c r="AJ20" i="18"/>
  <c r="AK20" i="18" s="1"/>
  <c r="AK83" i="18" s="1"/>
  <c r="AL83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H88" i="18" l="1"/>
  <c r="AH92" i="18" s="1"/>
  <c r="AH91" i="18"/>
  <c r="E173" i="13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3" i="33"/>
  <c r="B33" i="33" l="1"/>
  <c r="J33" i="33"/>
  <c r="F33" i="33"/>
  <c r="K33" i="33"/>
  <c r="G33" i="33"/>
  <c r="H33" i="33"/>
  <c r="D33" i="33"/>
  <c r="C33" i="33"/>
  <c r="I33" i="33"/>
  <c r="E33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3" i="33"/>
  <c r="U33" i="33"/>
  <c r="I40" i="32"/>
  <c r="P37" i="33"/>
  <c r="P34" i="33"/>
  <c r="P32" i="33"/>
  <c r="P25" i="33"/>
  <c r="P35" i="33"/>
  <c r="P27" i="33"/>
  <c r="P28" i="33"/>
  <c r="P29" i="33"/>
  <c r="P30" i="33"/>
  <c r="P31" i="33"/>
  <c r="P26" i="33"/>
  <c r="E131" i="13" l="1"/>
  <c r="G132" i="13"/>
  <c r="AF2" i="33"/>
  <c r="Y2" i="33" s="1"/>
  <c r="N37" i="33"/>
  <c r="N36" i="33"/>
  <c r="N34" i="33"/>
  <c r="N13" i="33"/>
  <c r="N12" i="33"/>
  <c r="N11" i="33"/>
  <c r="N10" i="33"/>
  <c r="N8" i="33"/>
  <c r="N7" i="33"/>
  <c r="B4" i="33"/>
  <c r="B2" i="33"/>
  <c r="N32" i="33"/>
  <c r="N35" i="33"/>
  <c r="N5" i="33"/>
  <c r="N31" i="33"/>
  <c r="N30" i="33"/>
  <c r="N29" i="33"/>
  <c r="N28" i="33"/>
  <c r="N27" i="33"/>
  <c r="N26" i="33"/>
  <c r="N25" i="33"/>
  <c r="B29" i="33" l="1"/>
  <c r="J29" i="33"/>
  <c r="F29" i="33"/>
  <c r="K29" i="33"/>
  <c r="G29" i="33"/>
  <c r="H29" i="33"/>
  <c r="D29" i="33"/>
  <c r="C29" i="33"/>
  <c r="E29" i="33"/>
  <c r="I29" i="33"/>
  <c r="B35" i="33"/>
  <c r="H35" i="33"/>
  <c r="D35" i="33"/>
  <c r="C35" i="33"/>
  <c r="K35" i="33"/>
  <c r="I35" i="33"/>
  <c r="E35" i="33"/>
  <c r="J35" i="33"/>
  <c r="F35" i="33"/>
  <c r="G35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7" i="33"/>
  <c r="J37" i="33"/>
  <c r="F37" i="33"/>
  <c r="K37" i="33"/>
  <c r="G37" i="33"/>
  <c r="H37" i="33"/>
  <c r="D37" i="33"/>
  <c r="C37" i="33"/>
  <c r="E37" i="33"/>
  <c r="I37" i="33"/>
  <c r="B30" i="33"/>
  <c r="I30" i="33"/>
  <c r="E30" i="33"/>
  <c r="J30" i="33"/>
  <c r="F30" i="33"/>
  <c r="K30" i="33"/>
  <c r="G30" i="33"/>
  <c r="H30" i="33"/>
  <c r="C30" i="33"/>
  <c r="D30" i="33"/>
  <c r="K32" i="33"/>
  <c r="G32" i="33"/>
  <c r="H32" i="33"/>
  <c r="D32" i="33"/>
  <c r="C32" i="33"/>
  <c r="I32" i="33"/>
  <c r="E32" i="33"/>
  <c r="J32" i="33"/>
  <c r="F32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4" i="33"/>
  <c r="I34" i="33"/>
  <c r="E34" i="33"/>
  <c r="J34" i="33"/>
  <c r="F34" i="33"/>
  <c r="K34" i="33"/>
  <c r="G34" i="33"/>
  <c r="D34" i="33"/>
  <c r="C34" i="33"/>
  <c r="H34" i="33"/>
  <c r="B25" i="33"/>
  <c r="J25" i="33"/>
  <c r="F25" i="33"/>
  <c r="K25" i="33"/>
  <c r="G25" i="33"/>
  <c r="H25" i="33"/>
  <c r="D25" i="33"/>
  <c r="C25" i="33"/>
  <c r="E25" i="33"/>
  <c r="I25" i="33"/>
  <c r="B26" i="33"/>
  <c r="U26" i="33" s="1"/>
  <c r="I26" i="33"/>
  <c r="E26" i="33"/>
  <c r="J26" i="33"/>
  <c r="F26" i="33"/>
  <c r="K26" i="33"/>
  <c r="G26" i="33"/>
  <c r="D26" i="33"/>
  <c r="C26" i="33"/>
  <c r="H26" i="33"/>
  <c r="B27" i="33"/>
  <c r="H27" i="33"/>
  <c r="D27" i="33"/>
  <c r="C27" i="33"/>
  <c r="I27" i="33"/>
  <c r="E27" i="33"/>
  <c r="K27" i="33"/>
  <c r="J27" i="33"/>
  <c r="F27" i="33"/>
  <c r="G27" i="33"/>
  <c r="B31" i="33"/>
  <c r="U31" i="33" s="1"/>
  <c r="H31" i="33"/>
  <c r="D31" i="33"/>
  <c r="C31" i="33"/>
  <c r="I31" i="33"/>
  <c r="E31" i="33"/>
  <c r="J31" i="33"/>
  <c r="F31" i="33"/>
  <c r="K31" i="33"/>
  <c r="G31" i="33"/>
  <c r="B28" i="33"/>
  <c r="K28" i="33"/>
  <c r="G28" i="33"/>
  <c r="H28" i="33"/>
  <c r="D28" i="33"/>
  <c r="C28" i="33"/>
  <c r="J28" i="33"/>
  <c r="I28" i="33"/>
  <c r="E28" i="33"/>
  <c r="F28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6" i="33"/>
  <c r="K36" i="33"/>
  <c r="G36" i="33"/>
  <c r="H36" i="33"/>
  <c r="D36" i="33"/>
  <c r="C36" i="33"/>
  <c r="I36" i="33"/>
  <c r="E36" i="33"/>
  <c r="J36" i="33"/>
  <c r="F36" i="33"/>
  <c r="B32" i="33"/>
  <c r="U32" i="33" s="1"/>
  <c r="B13" i="33"/>
  <c r="U13" i="33" s="1"/>
  <c r="E130" i="13"/>
  <c r="G131" i="13"/>
  <c r="L28" i="33"/>
  <c r="L10" i="33"/>
  <c r="L29" i="33"/>
  <c r="U29" i="33"/>
  <c r="R35" i="33"/>
  <c r="L35" i="33"/>
  <c r="U35" i="33"/>
  <c r="L11" i="33"/>
  <c r="U11" i="33"/>
  <c r="L30" i="33"/>
  <c r="U30" i="33"/>
  <c r="L32" i="33"/>
  <c r="L12" i="33"/>
  <c r="L31" i="33"/>
  <c r="L2" i="33"/>
  <c r="U2" i="33"/>
  <c r="L13" i="33"/>
  <c r="L4" i="33"/>
  <c r="U4" i="33"/>
  <c r="L34" i="33"/>
  <c r="U34" i="33"/>
  <c r="L25" i="33"/>
  <c r="U25" i="33"/>
  <c r="L6" i="33"/>
  <c r="U6" i="33"/>
  <c r="L36" i="33"/>
  <c r="U36" i="33"/>
  <c r="L26" i="33"/>
  <c r="L7" i="33"/>
  <c r="U7" i="33"/>
  <c r="L37" i="33"/>
  <c r="U37" i="33"/>
  <c r="L27" i="33"/>
  <c r="U27" i="33"/>
  <c r="L5" i="33"/>
  <c r="L8" i="33"/>
  <c r="U8" i="33"/>
  <c r="R32" i="33"/>
  <c r="R12" i="33"/>
  <c r="R25" i="33"/>
  <c r="R2" i="33"/>
  <c r="R13" i="33"/>
  <c r="R33" i="33"/>
  <c r="R34" i="33"/>
  <c r="R6" i="33"/>
  <c r="R37" i="33"/>
  <c r="R30" i="33"/>
  <c r="R10" i="33"/>
  <c r="R26" i="33"/>
  <c r="R4" i="33"/>
  <c r="R27" i="33"/>
  <c r="R36" i="33"/>
  <c r="U28" i="33"/>
  <c r="R28" i="33"/>
  <c r="R7" i="33"/>
  <c r="R29" i="33"/>
  <c r="R5" i="33"/>
  <c r="R8" i="33"/>
  <c r="R31" i="33"/>
  <c r="R11" i="33"/>
  <c r="K97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7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6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7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8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7" i="18" l="1"/>
  <c r="L46" i="18"/>
  <c r="E33" i="13"/>
  <c r="G34" i="13"/>
  <c r="I97" i="20"/>
  <c r="K97" i="20"/>
  <c r="J97" i="20"/>
  <c r="F108" i="15"/>
  <c r="C20" i="18"/>
  <c r="G20" i="14"/>
  <c r="G21" i="14"/>
  <c r="L48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<sst xmlns="http://schemas.openxmlformats.org/spreadsheetml/2006/main" count="9110" uniqueCount="4351">
  <si>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</si>
  <si>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</si>
  <si>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</si>
  <si>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</si>
  <si>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</si>
  <si>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</si>
  <si>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</si>
  <si>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</si>
  <si>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</si>
  <si>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</si>
  <si>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</si>
  <si>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</si>
  <si>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</si>
  <si>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</si>
  <si>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</si>
  <si>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</si>
  <si>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</si>
  <si>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</si>
  <si>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</si>
  <si>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</si>
  <si>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</si>
  <si>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</si>
  <si>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</si>
  <si>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</si>
  <si>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</si>
  <si>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</si>
  <si>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</si>
  <si>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</si>
  <si>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</si>
  <si>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</si>
  <si>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</si>
  <si>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</si>
  <si>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</si>
  <si>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</si>
  <si>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</si>
  <si>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</si>
  <si>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</si>
  <si>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</si>
  <si>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</si>
  <si>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</si>
  <si>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</si>
  <si>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</si>
  <si>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</si>
  <si>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</si>
  <si>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</si>
  <si>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</si>
  <si>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</si>
  <si>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</si>
  <si>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</si>
  <si>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</si>
  <si>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</si>
  <si>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</si>
  <si>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</si>
  <si>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</si>
  <si>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</si>
  <si>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</si>
  <si>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</si>
  <si>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</si>
  <si>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</si>
  <si>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</si>
  <si>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</si>
  <si>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</si>
  <si>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</si>
  <si>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</si>
  <si>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</si>
  <si>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</si>
  <si>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</si>
  <si>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</si>
  <si>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</si>
  <si>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</si>
  <si>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</si>
  <si>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</si>
  <si>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</si>
  <si>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</si>
  <si>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</si>
  <si>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</si>
  <si>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</si>
  <si>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</si>
  <si>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</si>
  <si>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</si>
  <si>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</si>
  <si>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</si>
  <si>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</si>
  <si>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</si>
  <si>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</si>
  <si>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</si>
  <si>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</si>
  <si>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</si>
  <si>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</si>
  <si>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</si>
  <si>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</si>
  <si>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</si>
  <si>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</si>
  <si>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</si>
  <si>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</si>
  <si>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</si>
  <si>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</si>
  <si>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</si>
  <si>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</si>
  <si>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</si>
  <si>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</si>
  <si>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</si>
  <si>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</si>
  <si>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</si>
  <si>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</si>
  <si>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</si>
  <si>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</si>
  <si>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</si>
  <si>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</si>
  <si>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</si>
  <si>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</si>
  <si>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</si>
  <si>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</si>
  <si>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</si>
  <si>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</si>
  <si>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</si>
  <si>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</si>
  <si>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</si>
  <si>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</si>
  <si>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</si>
  <si>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</si>
  <si>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</si>
  <si>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</si>
  <si>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</si>
  <si>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</si>
  <si>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</si>
  <si>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</si>
  <si>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</si>
  <si>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</si>
  <si>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</si>
  <si>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</si>
  <si>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</si>
  <si>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</si>
  <si>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</si>
  <si>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</si>
  <si>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</si>
  <si>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</si>
  <si>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</si>
  <si>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</si>
  <si>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</si>
  <si>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</si>
  <si>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</si>
  <si>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</si>
  <si>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</si>
  <si>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</si>
  <si>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</si>
  <si>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</si>
  <si>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</si>
  <si>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</si>
  <si>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</si>
  <si>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</si>
  <si>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</si>
  <si>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</si>
  <si>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</si>
  <si>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</si>
  <si>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</si>
  <si>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</si>
  <si>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</si>
  <si>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</si>
  <si>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</si>
  <si>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</si>
  <si>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</si>
  <si>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</si>
  <si>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</si>
  <si>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</si>
  <si>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</si>
  <si>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</si>
  <si>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</si>
  <si>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</si>
  <si>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</si>
  <si>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</si>
  <si>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</si>
  <si>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</si>
  <si>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</si>
  <si>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</si>
  <si>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</si>
  <si>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</si>
  <si>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</si>
  <si>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</si>
  <si>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</si>
  <si>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</si>
  <si>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</si>
  <si>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</si>
  <si>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</si>
  <si>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</si>
  <si>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</si>
  <si>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</si>
  <si>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</si>
  <si>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</si>
  <si>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</si>
  <si>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</si>
  <si>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</si>
  <si>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</si>
  <si>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</si>
  <si>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</si>
  <si>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</si>
  <si>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</si>
  <si>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</si>
  <si>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</si>
  <si>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</si>
  <si>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</si>
  <si>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</si>
  <si>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</si>
  <si>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</si>
  <si>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</si>
  <si>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</si>
  <si>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</si>
  <si>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</si>
  <si>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</si>
  <si>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</si>
  <si>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</si>
  <si>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</si>
  <si>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</si>
  <si>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</si>
  <si>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</si>
  <si>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</si>
  <si>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</si>
  <si>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</si>
  <si>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</si>
  <si>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</si>
  <si>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</si>
  <si>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</si>
  <si>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</si>
  <si>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</si>
  <si>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</si>
  <si>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</si>
  <si>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</si>
  <si>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</si>
  <si>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</si>
  <si>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</si>
  <si>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</si>
  <si>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</si>
  <si>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</si>
  <si>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</si>
  <si>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</si>
  <si>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</si>
  <si>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</si>
  <si>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</si>
  <si>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</si>
  <si>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</si>
  <si>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</si>
  <si>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</si>
  <si>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</si>
  <si>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</si>
  <si>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</si>
  <si>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</si>
  <si>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</si>
  <si>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</si>
  <si>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</si>
  <si>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</si>
  <si>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</si>
  <si>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</si>
  <si>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</si>
  <si>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</si>
  <si>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</si>
  <si>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</si>
  <si>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</si>
  <si>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</si>
  <si>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</si>
  <si>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</si>
  <si>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</si>
  <si>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</si>
  <si>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</si>
  <si>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</si>
  <si>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</si>
  <si>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</si>
  <si>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</si>
  <si>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</si>
  <si>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</si>
  <si>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</si>
  <si>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</si>
  <si>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</si>
  <si>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</si>
  <si>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</si>
  <si>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</si>
  <si>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</si>
  <si>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</si>
  <si>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</si>
  <si>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</si>
  <si>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</si>
  <si>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</si>
  <si>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</si>
  <si>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</si>
  <si>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</si>
  <si>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</si>
  <si>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</si>
  <si>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</si>
  <si>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</si>
  <si>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</si>
  <si>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</si>
  <si>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</si>
  <si>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</si>
  <si>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</si>
  <si>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</si>
  <si>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</si>
  <si>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</si>
  <si>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</si>
  <si>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</si>
  <si>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</si>
  <si>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</si>
  <si>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</si>
  <si>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</si>
  <si>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</si>
  <si>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</si>
  <si>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</si>
  <si>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</si>
  <si>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</si>
  <si>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</si>
  <si>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</si>
  <si>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</si>
  <si>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</si>
  <si>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</si>
  <si>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</si>
  <si>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</si>
  <si>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</si>
  <si>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</si>
  <si>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</si>
  <si>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</si>
  <si>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</si>
  <si>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</si>
  <si>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</si>
  <si>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</si>
  <si>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</si>
  <si>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</si>
  <si>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</si>
  <si>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</si>
  <si>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</si>
  <si>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</si>
  <si>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</si>
  <si>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</si>
  <si>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</si>
  <si>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</si>
  <si>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</si>
  <si>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</si>
  <si>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</si>
  <si>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</si>
  <si>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</si>
  <si>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</si>
  <si>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</si>
  <si>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</si>
  <si>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</si>
  <si>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</si>
  <si>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</si>
  <si>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</si>
  <si>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</si>
  <si>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</si>
  <si>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</si>
  <si>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</si>
  <si>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</si>
  <si>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</si>
  <si>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</si>
  <si>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</si>
  <si>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</si>
  <si>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</si>
  <si>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</si>
  <si>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</si>
  <si>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</si>
  <si>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</si>
  <si>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</si>
  <si>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</si>
  <si>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</si>
  <si>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</si>
  <si>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</si>
  <si>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</si>
  <si>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</si>
  <si>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</si>
  <si>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</si>
  <si>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</si>
  <si>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</si>
  <si>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</si>
  <si>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</si>
  <si>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</si>
  <si>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</si>
  <si>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</si>
  <si>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</si>
  <si>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</si>
  <si>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</si>
  <si>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</si>
  <si>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</si>
  <si>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</si>
  <si>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</si>
  <si>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</si>
  <si>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</si>
  <si>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</si>
  <si>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</si>
  <si>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</si>
  <si>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</si>
  <si>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</si>
  <si>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</si>
  <si>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</si>
  <si>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</si>
  <si>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</si>
  <si>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</si>
  <si>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</si>
  <si>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</si>
  <si>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</si>
  <si>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</si>
  <si>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</si>
  <si>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</si>
  <si>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</si>
  <si>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</si>
  <si>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</si>
  <si>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</si>
  <si>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</si>
  <si>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</si>
  <si>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</si>
  <si>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</si>
  <si>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</si>
  <si>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</si>
  <si>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</si>
  <si>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</si>
  <si>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</si>
  <si>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</si>
  <si>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</si>
  <si>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</si>
  <si>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</si>
  <si>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</si>
  <si>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</si>
  <si>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</si>
  <si>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</si>
  <si>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</si>
  <si>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</si>
  <si>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</si>
  <si>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</si>
  <si>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</si>
  <si>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</si>
  <si>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</si>
  <si>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</si>
  <si>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</si>
  <si>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</si>
  <si>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</si>
  <si>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</si>
  <si>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</si>
  <si>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</si>
  <si>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</si>
  <si>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</si>
  <si>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</si>
  <si>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</si>
  <si>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</si>
  <si>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</si>
  <si>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</si>
  <si>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</si>
  <si>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</si>
  <si>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</si>
  <si>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</si>
  <si>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</si>
  <si>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</si>
  <si>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</si>
  <si>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</si>
  <si>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</si>
  <si>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</si>
  <si>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</si>
  <si>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</si>
  <si>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</si>
  <si>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</si>
  <si>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</si>
  <si>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</si>
  <si>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</si>
  <si>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</si>
  <si>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</si>
  <si>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</si>
  <si>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</si>
  <si>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</si>
  <si>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</si>
  <si>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</si>
  <si>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</si>
  <si>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</si>
  <si>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</si>
  <si>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</si>
  <si>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</si>
  <si>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</si>
  <si>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</si>
  <si>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</si>
  <si>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</si>
  <si>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</si>
  <si>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</si>
  <si>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</si>
  <si>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</si>
  <si>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</si>
  <si>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</si>
  <si>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</si>
  <si>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</si>
  <si>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</si>
  <si>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</si>
  <si>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</si>
  <si>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</si>
  <si>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</si>
  <si>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</si>
  <si>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</si>
  <si>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</si>
  <si>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</si>
  <si>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</si>
  <si>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</si>
  <si>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</si>
  <si>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</si>
  <si>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</si>
  <si>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</si>
  <si>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</si>
  <si>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</si>
  <si>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</si>
  <si>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</si>
  <si>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</si>
  <si>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</si>
  <si>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</si>
  <si>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</si>
  <si>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</si>
  <si>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</si>
  <si>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</si>
  <si>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</si>
  <si>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</si>
  <si>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</si>
  <si>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</si>
  <si>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</si>
  <si>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</si>
  <si>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</si>
  <si>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</si>
  <si>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</si>
  <si>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</si>
  <si>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</si>
  <si>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</si>
  <si>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</si>
  <si>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</si>
  <si>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</si>
  <si>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</si>
  <si>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</si>
  <si>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</si>
  <si>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</si>
  <si>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</si>
  <si>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</si>
  <si>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</si>
  <si>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</si>
  <si>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</si>
  <si>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</si>
  <si>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</si>
  <si>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</si>
  <si>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</si>
  <si>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</si>
  <si>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</si>
  <si>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</si>
  <si>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</si>
  <si>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</si>
  <si>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</si>
  <si>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</si>
  <si>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</si>
  <si>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</si>
  <si>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</si>
  <si>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</si>
  <si>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</si>
  <si>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</si>
  <si>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</si>
  <si>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</si>
  <si>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</si>
  <si>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</si>
  <si>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</si>
  <si>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</si>
  <si>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</si>
  <si>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</si>
  <si>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</si>
  <si>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</si>
  <si>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</si>
  <si>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</si>
  <si>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</si>
  <si>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</si>
  <si>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</si>
  <si>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</si>
  <si>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</si>
  <si>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</si>
  <si>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</si>
  <si>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</si>
  <si>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</si>
  <si>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</si>
  <si>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</si>
  <si>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</si>
  <si>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</si>
  <si>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</si>
  <si>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</si>
  <si>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</si>
  <si>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</si>
  <si>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</si>
  <si>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</si>
  <si>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</si>
  <si>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</si>
  <si>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</si>
  <si>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</si>
  <si>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</si>
  <si>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</si>
  <si>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</si>
  <si>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</si>
  <si>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</si>
  <si>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</si>
  <si>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</si>
  <si>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</si>
  <si>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</si>
  <si>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</si>
  <si>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</si>
  <si>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</si>
  <si>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</si>
  <si>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</si>
  <si>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</si>
  <si>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</si>
  <si>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</si>
  <si>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</si>
  <si>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</si>
  <si>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</si>
  <si>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</si>
  <si>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</si>
  <si>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</si>
  <si>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</si>
  <si>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</si>
  <si>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</si>
  <si>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</si>
  <si>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</si>
  <si>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</si>
  <si>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</si>
  <si>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</si>
  <si>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</si>
  <si>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</si>
  <si>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</si>
  <si>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</si>
  <si>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</si>
  <si>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</si>
  <si>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</si>
  <si>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</si>
  <si>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</si>
  <si>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</si>
  <si>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</si>
  <si>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</si>
  <si>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</si>
  <si>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</si>
  <si>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</si>
  <si>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</si>
  <si>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</si>
  <si>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</si>
  <si>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</si>
  <si>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</si>
  <si>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</si>
  <si>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</si>
  <si>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</si>
  <si>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</si>
  <si>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</si>
  <si>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</si>
  <si>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</si>
  <si>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</si>
  <si>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</si>
  <si>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</si>
  <si>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</si>
  <si>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</si>
  <si>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</si>
  <si>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</si>
  <si>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</si>
  <si>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</si>
  <si>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</si>
  <si>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</si>
  <si>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</si>
  <si>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</si>
  <si>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</si>
  <si>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</si>
  <si>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</si>
  <si>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</si>
  <si>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</si>
  <si>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</si>
  <si>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</si>
  <si>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</si>
  <si>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</si>
  <si>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</si>
  <si>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</si>
  <si>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</si>
  <si>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</si>
  <si>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</si>
  <si>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</si>
  <si>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</si>
  <si>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</si>
  <si>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</si>
  <si>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</si>
  <si>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</si>
  <si>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</si>
  <si>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</si>
  <si>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</si>
  <si>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</si>
  <si>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</si>
  <si>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</si>
  <si>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</si>
  <si>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</si>
  <si>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</si>
  <si>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</si>
  <si>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</si>
  <si>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</si>
  <si>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</si>
  <si>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</si>
  <si>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</si>
  <si>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</si>
  <si>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</si>
  <si>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</si>
  <si>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</si>
  <si>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</si>
  <si>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</si>
  <si>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</si>
  <si>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</si>
  <si>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</si>
  <si>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</si>
  <si>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</si>
  <si>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</si>
  <si>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</si>
  <si>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</si>
  <si>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</si>
  <si>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</si>
  <si>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</si>
  <si>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</si>
  <si>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</si>
  <si>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</si>
  <si>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</si>
  <si>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</si>
  <si>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</si>
  <si>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</si>
  <si>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</si>
  <si>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</si>
  <si>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</si>
  <si>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</si>
  <si>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</si>
  <si>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</si>
  <si>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</si>
  <si>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</si>
  <si>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</si>
  <si>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</si>
  <si>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</si>
  <si>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</si>
  <si>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</si>
  <si>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</si>
  <si>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</si>
  <si>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</si>
  <si>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</si>
  <si>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</si>
  <si>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</si>
  <si>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</si>
  <si>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</si>
  <si>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</si>
  <si>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</si>
  <si>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</si>
  <si>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</si>
  <si>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</si>
  <si>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</si>
  <si>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</si>
  <si>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</si>
  <si>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</si>
  <si>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</si>
  <si>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</si>
  <si>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</si>
  <si>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</si>
  <si>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</si>
  <si>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</si>
  <si>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</si>
  <si>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</si>
  <si>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</si>
  <si>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</si>
  <si>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</si>
  <si>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</si>
  <si>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</si>
  <si>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</si>
  <si>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</si>
  <si>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</si>
  <si>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</si>
  <si>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</si>
  <si>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</si>
  <si>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</si>
  <si>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</si>
  <si>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</si>
  <si>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</si>
  <si>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</si>
  <si>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</si>
  <si>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</si>
  <si>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</si>
  <si>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</si>
  <si>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</si>
  <si>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</si>
  <si>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</si>
  <si>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</si>
  <si>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</si>
  <si>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</si>
  <si>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</si>
  <si>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</si>
  <si>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</si>
  <si>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</si>
  <si>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</si>
  <si>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</si>
  <si>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</si>
  <si>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</si>
  <si>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</si>
  <si>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</si>
  <si>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</si>
  <si>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</si>
  <si>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</si>
  <si>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</si>
  <si>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</si>
  <si>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</si>
  <si>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</si>
  <si>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</si>
  <si>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</si>
  <si>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</si>
  <si>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</si>
  <si>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</si>
  <si>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</si>
  <si>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</si>
  <si>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</si>
  <si>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</si>
  <si>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</si>
  <si>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</si>
  <si>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</si>
  <si>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</si>
  <si>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</si>
  <si>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</si>
  <si>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</si>
  <si>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</si>
  <si>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</si>
  <si>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</si>
  <si>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</si>
  <si>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</si>
  <si>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</si>
  <si>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</si>
  <si>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</si>
  <si>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</si>
  <si>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</si>
  <si>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</si>
  <si>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</si>
  <si>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</si>
  <si>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</si>
  <si>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</si>
  <si>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</si>
  <si>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</si>
  <si>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</si>
  <si>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</si>
  <si>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</si>
  <si>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</si>
  <si>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</si>
  <si>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</si>
  <si>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</si>
  <si>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</si>
  <si>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</si>
  <si>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</si>
  <si>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</si>
  <si>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</si>
  <si>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</si>
  <si>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</si>
  <si>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</si>
  <si>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</si>
  <si>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</si>
  <si>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</si>
  <si>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</si>
  <si>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</si>
  <si>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</si>
  <si>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</si>
  <si>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</si>
  <si>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</si>
  <si>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</si>
  <si>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</si>
  <si>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</si>
  <si>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</si>
  <si>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</si>
  <si>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</si>
  <si>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</si>
  <si>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</si>
  <si>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</si>
  <si>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</si>
  <si>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</si>
  <si>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</si>
  <si>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</si>
  <si>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</si>
  <si>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</si>
  <si>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</si>
  <si>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</si>
  <si>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</si>
  <si>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</si>
  <si>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</si>
  <si>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</si>
  <si>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</si>
  <si>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</si>
  <si>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</si>
  <si>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</si>
  <si>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</si>
  <si>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</si>
  <si>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</si>
  <si>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</si>
  <si>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</si>
  <si>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</si>
  <si>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</si>
  <si>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</si>
  <si>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</si>
  <si>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</si>
  <si>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</si>
  <si>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</si>
  <si>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</si>
  <si>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</si>
  <si>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</si>
  <si>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</si>
  <si>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</si>
  <si>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</si>
  <si>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</si>
  <si>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</si>
  <si>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</si>
  <si>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</si>
  <si>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</si>
  <si>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</si>
  <si>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</si>
  <si>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</si>
  <si>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</si>
  <si>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</si>
  <si>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</si>
  <si>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</si>
  <si>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</si>
  <si>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</si>
  <si>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</si>
  <si>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</si>
  <si>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</si>
  <si>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</si>
  <si>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</si>
  <si>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</si>
  <si>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</si>
  <si>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</si>
  <si>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</si>
  <si>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</si>
  <si>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</si>
  <si>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</si>
  <si>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</si>
  <si>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</si>
  <si>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</si>
  <si>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</si>
  <si>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</si>
  <si>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</si>
  <si>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</si>
  <si>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</si>
  <si>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</si>
  <si>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</si>
  <si>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</si>
  <si>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</si>
  <si>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</si>
  <si>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</si>
  <si>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</si>
  <si>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</si>
  <si>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</si>
  <si>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</si>
  <si>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</si>
  <si>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</si>
  <si>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</si>
  <si>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</si>
  <si>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</si>
  <si>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</si>
  <si>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</si>
  <si>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</si>
  <si>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</si>
  <si>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</si>
  <si>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</si>
  <si>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</si>
  <si>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</si>
  <si>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</si>
  <si>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</si>
  <si>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</si>
  <si>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</si>
  <si>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</si>
  <si>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</si>
  <si>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</si>
  <si>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</si>
  <si>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</si>
  <si>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</si>
  <si>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</si>
  <si>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</si>
  <si>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</si>
  <si>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</si>
  <si>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</si>
  <si>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</si>
  <si>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</si>
  <si>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</si>
  <si>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</si>
  <si>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</si>
  <si>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</si>
  <si>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</si>
  <si>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</si>
  <si>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</si>
  <si>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</si>
  <si>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</si>
  <si>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</si>
  <si>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</si>
  <si>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</si>
  <si>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</si>
  <si>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</si>
  <si>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</si>
  <si>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</si>
  <si>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</si>
  <si>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</si>
  <si>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</si>
  <si>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</si>
  <si>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</si>
  <si>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</si>
  <si>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</si>
  <si>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</si>
  <si>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</si>
  <si>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</si>
  <si>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</si>
  <si>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</si>
  <si>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</si>
  <si>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</si>
  <si>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</si>
  <si>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</si>
  <si>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</si>
  <si>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</si>
  <si>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</si>
  <si>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</si>
  <si>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</si>
  <si>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</si>
  <si>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</si>
  <si>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</si>
  <si>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</si>
  <si>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</si>
  <si>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</si>
  <si>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</si>
  <si>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</si>
  <si>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</si>
  <si>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</si>
  <si>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</si>
  <si>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</si>
  <si>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</si>
  <si>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</si>
  <si>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</si>
  <si>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</si>
  <si>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</si>
  <si>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</si>
  <si>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</si>
  <si>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</si>
  <si>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</si>
  <si>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</si>
  <si>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</si>
  <si>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</si>
  <si>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</si>
  <si>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</si>
  <si>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</si>
  <si>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</si>
  <si>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</si>
  <si>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</si>
  <si>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</si>
  <si>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</si>
  <si>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</si>
  <si>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</si>
  <si>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</si>
  <si>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</si>
  <si>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</si>
  <si>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</si>
  <si>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</si>
  <si>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</si>
  <si>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</si>
  <si>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</si>
  <si>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</si>
  <si>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</si>
  <si>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</si>
  <si>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</si>
  <si>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</si>
  <si>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</si>
  <si>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</si>
  <si>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</si>
  <si>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</si>
  <si>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</si>
  <si>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</si>
  <si>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</si>
  <si>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</si>
  <si>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</si>
  <si>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</si>
  <si>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</si>
  <si>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</si>
  <si>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</si>
  <si>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</si>
  <si>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</si>
  <si>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</si>
  <si>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</si>
  <si>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</si>
  <si>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</si>
  <si>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</si>
  <si>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</si>
  <si>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</si>
  <si>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</si>
  <si>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</si>
  <si>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</si>
  <si>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</si>
  <si>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</si>
  <si>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</si>
  <si>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</si>
  <si>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</si>
  <si>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</si>
  <si>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</si>
  <si>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</si>
  <si>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</si>
  <si>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</si>
  <si>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</si>
  <si>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</si>
  <si>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</si>
  <si>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</si>
  <si>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</si>
  <si>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</si>
  <si>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</si>
  <si>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</si>
  <si>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</si>
  <si>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</si>
  <si>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</si>
  <si>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</si>
  <si>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</si>
  <si>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</si>
  <si>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</si>
  <si>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</si>
  <si>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</si>
  <si>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</si>
  <si>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</si>
  <si>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</si>
  <si>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</si>
  <si>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</si>
  <si>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</si>
  <si>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</si>
  <si>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</si>
  <si>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</si>
  <si>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</si>
  <si>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</si>
  <si>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</si>
  <si>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</si>
  <si>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</si>
  <si>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</si>
  <si>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</si>
  <si>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</si>
  <si>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</si>
  <si>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</si>
  <si>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</si>
  <si>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</si>
  <si>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</si>
  <si>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</si>
  <si>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</si>
  <si>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</si>
  <si>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</si>
  <si>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</si>
  <si>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</si>
  <si>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</si>
  <si>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</si>
  <si>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</si>
  <si>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</si>
  <si>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</si>
  <si>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</si>
  <si>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</si>
  <si>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</si>
  <si>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</si>
  <si>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</si>
  <si>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</si>
  <si>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</si>
  <si>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</si>
  <si>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</si>
  <si>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</si>
  <si>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</si>
  <si>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</si>
  <si>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</si>
  <si>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</si>
  <si>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</si>
  <si>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</si>
  <si>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</si>
  <si>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</si>
  <si>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</si>
  <si>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</si>
  <si>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</si>
  <si>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</si>
  <si>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</si>
  <si>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</si>
  <si>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</si>
  <si>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</si>
  <si>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</si>
  <si>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</si>
  <si>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</si>
  <si>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</si>
  <si>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</si>
  <si>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</si>
  <si>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</si>
  <si>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</si>
  <si>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</si>
  <si>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</si>
  <si>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</si>
  <si>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</si>
  <si>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</si>
  <si>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</si>
  <si>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</si>
  <si>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</si>
  <si>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</si>
  <si>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</si>
  <si>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</si>
  <si>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</si>
  <si>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</si>
  <si>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</si>
  <si>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</si>
  <si>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</si>
  <si>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</si>
  <si>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</si>
  <si>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</si>
  <si>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</si>
  <si>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</si>
  <si>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</si>
  <si>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</si>
  <si>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</si>
  <si>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</si>
  <si>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</si>
  <si>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</si>
  <si>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</si>
  <si>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</si>
  <si>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</si>
  <si>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</si>
  <si>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</si>
  <si>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</si>
  <si>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</si>
  <si>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</si>
  <si>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</si>
  <si>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</si>
  <si>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</si>
  <si>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</si>
  <si>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</si>
  <si>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</si>
  <si>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</si>
  <si>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</si>
  <si>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</si>
  <si>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</si>
  <si>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</si>
  <si>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</si>
  <si>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</si>
  <si>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</si>
  <si>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</si>
  <si>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</si>
  <si>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</si>
  <si>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</si>
  <si>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</si>
  <si>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</si>
  <si>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</si>
  <si>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</si>
  <si>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</si>
  <si>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</si>
  <si>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</si>
  <si>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</si>
  <si>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</si>
  <si>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</si>
  <si>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</si>
  <si>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</si>
  <si>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</si>
  <si>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</si>
  <si>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</si>
  <si>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</si>
  <si>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</si>
  <si>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</si>
  <si>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</si>
  <si>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</si>
  <si>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</si>
  <si>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</si>
  <si>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</si>
  <si>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</si>
  <si>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</si>
  <si>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</si>
  <si>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</si>
  <si>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</si>
  <si>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</si>
  <si>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</si>
  <si>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</si>
  <si>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</si>
  <si>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</si>
  <si>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</si>
  <si>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</si>
  <si>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</si>
  <si>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</si>
  <si>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</si>
  <si>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</si>
  <si>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</si>
  <si>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</si>
  <si>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</si>
  <si>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</si>
  <si>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</si>
  <si>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</si>
  <si>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</si>
  <si>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</si>
  <si>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</si>
  <si>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</si>
  <si>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</si>
  <si>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</si>
  <si>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</si>
  <si>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</si>
  <si>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</si>
  <si>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</si>
  <si>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</si>
  <si>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</si>
  <si>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</si>
  <si>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</si>
  <si>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</si>
  <si>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</si>
  <si>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</si>
  <si>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</si>
  <si>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</si>
  <si>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</si>
  <si>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</si>
  <si>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</si>
  <si>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</si>
  <si>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</si>
  <si>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</si>
  <si>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</si>
  <si>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</si>
  <si>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</si>
  <si>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</si>
  <si>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</si>
  <si>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</si>
  <si>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</si>
  <si>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</si>
  <si>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</si>
  <si>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</si>
  <si>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</si>
  <si>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</si>
  <si>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</si>
  <si>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</si>
  <si>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</si>
  <si>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</si>
  <si>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</si>
  <si>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</si>
  <si>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</si>
  <si>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</si>
  <si>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</si>
  <si>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</si>
  <si>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</si>
  <si>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</si>
  <si>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</si>
  <si>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</si>
  <si>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</si>
  <si>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</si>
  <si>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</si>
  <si>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</si>
  <si>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</si>
  <si>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</si>
  <si>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</si>
  <si>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</si>
  <si>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</si>
  <si>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</si>
  <si>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</si>
  <si>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</si>
  <si>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</si>
  <si>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</si>
  <si>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</si>
  <si>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</si>
  <si>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</si>
  <si>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</si>
  <si>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</si>
  <si>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</si>
  <si>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</si>
  <si>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</si>
  <si>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</si>
  <si>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</si>
  <si>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</si>
  <si>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</si>
  <si>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</si>
  <si>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</si>
  <si>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</si>
  <si>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</si>
  <si>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</si>
  <si>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</si>
  <si>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</si>
  <si>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</si>
  <si>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</si>
  <si>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</si>
  <si>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</si>
  <si>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</si>
  <si>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</si>
  <si>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</si>
  <si>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</si>
  <si>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</si>
  <si>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</si>
  <si>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</si>
  <si>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</si>
  <si>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</si>
  <si>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</si>
  <si>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</si>
  <si>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</si>
  <si>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</si>
  <si>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</si>
  <si>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</si>
  <si>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</si>
  <si>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</si>
  <si>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</si>
  <si>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</si>
  <si>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</si>
  <si>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</si>
  <si>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</si>
  <si>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</si>
  <si>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</si>
  <si>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</si>
  <si>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</si>
  <si>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</si>
  <si>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</si>
  <si>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</si>
  <si>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</si>
  <si>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</si>
  <si>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</si>
  <si>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</si>
  <si>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</si>
  <si>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</si>
  <si>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</si>
  <si>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</si>
  <si>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</si>
  <si>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</si>
  <si>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</si>
  <si>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</si>
  <si>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</si>
  <si>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</si>
  <si>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</si>
  <si>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</si>
  <si>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</si>
  <si>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</si>
  <si>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</si>
  <si>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</si>
  <si>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</si>
  <si>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</si>
  <si>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</si>
  <si>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</si>
  <si>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</si>
  <si>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</si>
  <si>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</si>
  <si>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</si>
  <si>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</si>
  <si>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</si>
  <si>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</si>
  <si>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</si>
  <si>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</si>
  <si>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</si>
  <si>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</si>
  <si>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</si>
  <si>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</si>
  <si>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</si>
  <si>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</si>
  <si>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</si>
  <si>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</si>
  <si>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</si>
  <si>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</si>
  <si>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</si>
  <si>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</si>
  <si>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</si>
  <si>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</si>
  <si>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</si>
  <si>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</si>
  <si>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</si>
  <si>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</si>
  <si>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</si>
  <si>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</si>
  <si>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</si>
  <si>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</si>
  <si>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</si>
  <si>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</si>
  <si>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</si>
  <si>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</si>
  <si>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</si>
  <si>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</si>
  <si>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</si>
  <si>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</si>
  <si>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</si>
  <si>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</si>
  <si>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</si>
  <si>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</si>
  <si>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</si>
  <si>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</si>
  <si>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</si>
  <si>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</si>
  <si>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</si>
  <si>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</si>
  <si>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</si>
  <si>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</si>
  <si>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</si>
  <si>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</si>
  <si>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</si>
  <si>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</si>
  <si>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</si>
  <si>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</si>
  <si>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</si>
  <si>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</si>
  <si>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</si>
  <si>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</si>
  <si>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</si>
  <si>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</si>
  <si>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</si>
  <si>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</si>
  <si>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</si>
  <si>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</si>
  <si>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</si>
  <si>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</si>
  <si>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</si>
  <si>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</si>
  <si>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</si>
  <si>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</si>
  <si>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</si>
  <si>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</si>
  <si>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</si>
  <si>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</si>
  <si>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</si>
  <si>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</si>
  <si>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</si>
  <si>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</si>
  <si>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</si>
  <si>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</si>
  <si>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</si>
  <si>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</si>
  <si>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</si>
  <si>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</si>
  <si>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</si>
  <si>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</si>
  <si>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</si>
  <si>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</si>
  <si>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</si>
  <si>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</si>
  <si>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</si>
  <si>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</si>
  <si>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</si>
  <si>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</si>
  <si>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</si>
  <si>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</si>
  <si>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</si>
  <si>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</si>
  <si>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</si>
  <si>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</si>
  <si>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</si>
  <si>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</si>
  <si>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</si>
  <si>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</si>
  <si>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</si>
  <si>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</si>
  <si>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</si>
  <si>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</si>
  <si>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</si>
  <si>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</si>
  <si>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</si>
  <si>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</si>
  <si>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</si>
  <si>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</si>
  <si>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</si>
  <si>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</si>
  <si>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</si>
  <si>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</si>
  <si>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</si>
  <si>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</si>
  <si>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</si>
  <si>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</si>
  <si>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</si>
  <si>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</si>
  <si>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</si>
  <si>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</si>
  <si>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</si>
  <si>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</si>
  <si>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</si>
  <si>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</si>
  <si>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</si>
  <si>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</si>
  <si>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</si>
  <si>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</si>
  <si>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</si>
  <si>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</si>
  <si>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</si>
  <si>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</si>
  <si>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</si>
  <si>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</si>
  <si>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</si>
  <si>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</si>
  <si>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</si>
  <si>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</si>
  <si>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</si>
  <si>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</si>
  <si>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</si>
  <si>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</si>
  <si>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</si>
  <si>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</si>
  <si>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</si>
  <si>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</si>
  <si>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</si>
  <si>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</si>
  <si>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</si>
  <si>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</si>
  <si>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</si>
  <si>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</si>
  <si>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</si>
  <si>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</si>
  <si>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</si>
  <si>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</si>
  <si>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</si>
  <si>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</si>
  <si>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</si>
  <si>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</si>
  <si>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</si>
  <si>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</si>
  <si>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</si>
  <si>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</si>
  <si>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</si>
  <si>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</si>
  <si>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</si>
  <si>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</si>
  <si>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</si>
  <si>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</si>
  <si>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</si>
  <si>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</si>
  <si>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</si>
  <si>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</si>
  <si>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</si>
  <si>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</si>
  <si>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</si>
  <si>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</si>
  <si>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</si>
  <si>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</si>
  <si>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</si>
  <si>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</si>
  <si>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</si>
  <si>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</si>
  <si>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</si>
  <si>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</si>
  <si>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</si>
  <si>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</si>
  <si>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</si>
  <si>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</si>
  <si>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</si>
  <si>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</si>
  <si>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</si>
  <si>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</si>
  <si>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</si>
  <si>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</si>
  <si>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</si>
  <si>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</si>
  <si>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</si>
  <si>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</si>
  <si>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</si>
  <si>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</si>
  <si>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</si>
  <si>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</si>
  <si>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</si>
  <si>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</si>
  <si>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</si>
  <si>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</si>
  <si>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</si>
  <si>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</si>
  <si>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</si>
  <si>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</si>
  <si>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</si>
  <si>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</si>
  <si>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</si>
  <si>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</si>
  <si>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</si>
  <si>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</si>
  <si>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</si>
  <si>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</si>
  <si>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</si>
  <si>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</si>
  <si>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</si>
  <si>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</si>
  <si>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</si>
  <si>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</si>
  <si>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</si>
  <si>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</si>
  <si>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</si>
  <si>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</si>
  <si>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</si>
  <si>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</si>
  <si>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</si>
  <si>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</si>
  <si>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</si>
  <si>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</si>
  <si>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</si>
  <si>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</si>
  <si>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</si>
  <si>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</si>
  <si>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</si>
  <si>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</si>
  <si>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</si>
  <si>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</si>
  <si>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</si>
  <si>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</si>
  <si>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</si>
  <si>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</si>
  <si>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</si>
  <si>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</si>
  <si>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</si>
  <si>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</si>
  <si>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</si>
  <si>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</si>
  <si>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</si>
  <si>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</si>
  <si>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</si>
  <si>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</si>
  <si>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</si>
  <si>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</si>
  <si>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</si>
  <si>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</si>
  <si>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</si>
  <si>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</si>
  <si>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</si>
  <si>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</si>
  <si>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</si>
  <si>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</si>
  <si>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</si>
  <si>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</si>
  <si>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</si>
  <si>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</si>
  <si>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</si>
  <si>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</si>
  <si>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</si>
  <si>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</si>
  <si>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</si>
  <si>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</si>
  <si>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</si>
  <si>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</si>
  <si>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</si>
  <si>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</si>
  <si>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</si>
  <si>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</si>
  <si>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</si>
  <si>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</si>
  <si>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</si>
  <si>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</si>
  <si>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</si>
  <si>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</si>
  <si>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</si>
  <si>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</si>
  <si>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</si>
  <si>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</si>
  <si>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</si>
  <si>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</si>
  <si>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</si>
  <si>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</si>
  <si>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</si>
  <si>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</si>
  <si>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</si>
  <si>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</si>
  <si>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</si>
  <si>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</si>
  <si>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</si>
  <si>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</si>
  <si>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</si>
  <si>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</si>
  <si>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</si>
  <si>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</si>
  <si>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</si>
  <si>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</si>
  <si>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</si>
  <si>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</si>
  <si>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</si>
  <si>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</si>
  <si>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</si>
  <si>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</si>
  <si>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</si>
  <si>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</si>
  <si>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</si>
  <si>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</si>
  <si>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</si>
  <si>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</si>
  <si>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</si>
  <si>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</si>
  <si>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</si>
  <si>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</si>
  <si>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</si>
  <si>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</si>
  <si>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</si>
  <si>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</si>
  <si>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</si>
  <si>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</si>
  <si>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</si>
  <si>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</si>
  <si>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</si>
  <si>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</si>
  <si>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</si>
  <si>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</si>
  <si>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</si>
  <si>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</si>
  <si>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</si>
  <si>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</si>
  <si>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</si>
  <si>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</si>
  <si>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</si>
  <si>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</si>
  <si>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</si>
  <si>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</si>
  <si>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</si>
  <si>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</si>
  <si>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</si>
  <si>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</si>
  <si>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</si>
  <si>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</si>
  <si>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</si>
  <si>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</si>
  <si>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</si>
  <si>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</si>
  <si>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</si>
  <si>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</si>
  <si>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</si>
  <si>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</si>
  <si>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</si>
  <si>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</si>
  <si>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</si>
  <si>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</si>
  <si>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</si>
  <si>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</si>
  <si>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</si>
  <si>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</si>
  <si>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</si>
  <si>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</si>
  <si>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</si>
  <si>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</si>
  <si>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</si>
  <si>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</si>
  <si>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</si>
  <si>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</si>
  <si>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</si>
  <si>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</si>
  <si>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</si>
  <si>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</si>
  <si>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</si>
  <si>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</si>
  <si>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</si>
  <si>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</si>
  <si>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</si>
  <si>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</si>
  <si>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</si>
  <si>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</si>
  <si>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</si>
  <si>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</si>
  <si>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</si>
  <si>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</si>
  <si>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</si>
  <si>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</si>
  <si>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</si>
  <si>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</si>
  <si>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</si>
  <si>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</si>
  <si>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</si>
  <si>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</si>
  <si>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</si>
  <si>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</si>
  <si>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</si>
  <si>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</si>
  <si>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</si>
  <si>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</si>
  <si>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</si>
  <si>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</si>
  <si>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</si>
  <si>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</si>
  <si>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</si>
  <si>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</si>
  <si>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</si>
  <si>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</si>
  <si>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</si>
  <si>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</si>
  <si>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</si>
  <si>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</si>
  <si>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</si>
  <si>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</si>
  <si>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</si>
  <si>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</si>
  <si>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</si>
  <si>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</si>
  <si>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</si>
  <si>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</si>
  <si>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</si>
  <si>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</si>
  <si>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</si>
  <si>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</si>
  <si>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</si>
  <si>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</si>
  <si>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</si>
  <si>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</si>
  <si>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</si>
  <si>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</si>
  <si>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</si>
  <si>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</si>
  <si>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</si>
  <si>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</si>
  <si>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</si>
  <si>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</si>
  <si>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</si>
  <si>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</si>
  <si>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</si>
  <si>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</si>
  <si>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</si>
  <si>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</si>
  <si>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</si>
  <si>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</si>
  <si>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</si>
  <si>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</si>
  <si>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</si>
  <si>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</si>
  <si>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</si>
  <si>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</si>
  <si>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</si>
  <si>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</si>
  <si>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</si>
  <si>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</si>
  <si>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</si>
  <si>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</si>
  <si>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</si>
  <si>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</si>
  <si>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</si>
  <si>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</si>
  <si>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</si>
  <si>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</si>
  <si>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</si>
  <si>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</si>
  <si>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</si>
  <si>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</si>
  <si>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</si>
  <si>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</si>
  <si>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</si>
  <si>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</si>
  <si>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</si>
  <si>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</si>
  <si>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</si>
  <si>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</si>
  <si>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</si>
  <si>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</si>
  <si>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</si>
  <si>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</si>
  <si>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</si>
  <si>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</si>
  <si>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</si>
  <si>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</si>
  <si>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</si>
  <si>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</si>
  <si>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</si>
  <si>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</si>
  <si>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</si>
  <si>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</si>
  <si>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</si>
  <si>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</si>
  <si>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</si>
  <si>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</si>
  <si>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</si>
  <si>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</si>
  <si>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</si>
  <si>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</si>
  <si>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</si>
  <si>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</si>
  <si>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</si>
  <si>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</si>
  <si>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</si>
  <si>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</si>
  <si>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</si>
  <si>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</si>
  <si>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</si>
  <si>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</si>
  <si>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</si>
  <si>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</si>
  <si>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</si>
  <si>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</si>
  <si>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</si>
  <si>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</si>
  <si>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</si>
  <si>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</si>
  <si>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</si>
  <si>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</si>
  <si>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</si>
  <si>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</si>
  <si>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</si>
  <si>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</si>
  <si>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</si>
  <si>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</si>
  <si>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</si>
  <si>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</si>
  <si>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</si>
  <si>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</si>
  <si>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</si>
  <si>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</si>
  <si>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</si>
  <si>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</si>
  <si>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</si>
  <si>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</si>
  <si>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</si>
  <si>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</si>
  <si>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</si>
  <si>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</si>
  <si>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</si>
  <si>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</si>
  <si>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</si>
  <si>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</si>
  <si>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</si>
  <si>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</si>
  <si>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</si>
  <si>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</si>
  <si>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</si>
  <si>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</si>
  <si>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</si>
  <si>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</si>
  <si>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</si>
  <si>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</si>
  <si>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</si>
  <si>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</si>
  <si>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</si>
  <si>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</si>
  <si>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</si>
  <si>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</si>
  <si>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</si>
  <si>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</si>
  <si>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</si>
  <si>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</si>
  <si>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</si>
  <si>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</si>
  <si>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</si>
  <si>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</si>
  <si>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</si>
  <si>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</si>
  <si>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</si>
  <si>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</si>
  <si>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</si>
  <si>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</si>
  <si>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</si>
  <si>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</si>
  <si>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</si>
  <si>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</si>
  <si>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</si>
  <si>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</si>
  <si>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</si>
  <si>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</si>
  <si>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</si>
  <si>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</si>
  <si>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</si>
  <si>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</si>
  <si>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</si>
  <si>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</si>
  <si>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</si>
  <si>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</si>
  <si>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</si>
  <si>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</si>
  <si>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</si>
  <si>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</si>
  <si>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</si>
  <si>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</si>
  <si>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</si>
  <si>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</si>
  <si>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</si>
  <si>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</si>
  <si>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</si>
  <si>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</si>
  <si>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</si>
  <si>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</si>
  <si>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</si>
  <si>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</si>
  <si>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</si>
  <si>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</si>
  <si>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</si>
  <si>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</si>
  <si>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</si>
  <si>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</si>
  <si>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</si>
  <si>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</si>
  <si>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</si>
  <si>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</si>
  <si>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</si>
  <si>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</si>
  <si>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</si>
  <si>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</si>
  <si>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</si>
  <si>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</si>
  <si>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</si>
  <si>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</si>
  <si>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</si>
  <si>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</si>
  <si>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</si>
  <si>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</si>
  <si>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</si>
  <si>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</si>
  <si>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</si>
  <si>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</si>
  <si>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</si>
  <si>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</si>
  <si>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</si>
  <si>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</si>
  <si>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</si>
  <si>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</si>
  <si>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</si>
  <si>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</si>
  <si>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</si>
  <si>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</si>
  <si>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</si>
  <si>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</si>
  <si>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</si>
  <si>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</si>
  <si>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</si>
  <si>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</si>
  <si>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</si>
  <si>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</si>
  <si>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</si>
  <si>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</si>
  <si>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</si>
  <si>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</si>
  <si>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</si>
  <si>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</si>
  <si>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</si>
  <si>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</si>
  <si>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</si>
  <si>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</si>
  <si>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</si>
  <si>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</si>
  <si>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</si>
  <si>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</si>
  <si>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</si>
  <si>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</si>
  <si>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</si>
  <si>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</si>
  <si>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</si>
  <si>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</si>
  <si>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</si>
  <si>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</si>
  <si>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</si>
  <si>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</si>
  <si>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</si>
  <si>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</si>
  <si>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</si>
  <si>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</si>
  <si>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</si>
  <si>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</si>
  <si>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</si>
  <si>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</si>
  <si>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</si>
  <si>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</si>
  <si>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</si>
  <si>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</si>
  <si>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</si>
  <si>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</si>
  <si>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</si>
  <si>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</si>
  <si>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</si>
  <si>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</si>
  <si>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</si>
  <si>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</si>
  <si>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</si>
  <si>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</si>
  <si>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</si>
  <si>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</si>
  <si>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</si>
  <si>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</si>
  <si>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</si>
  <si>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</si>
  <si>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</si>
  <si>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</si>
  <si>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</si>
  <si>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</si>
  <si>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</si>
  <si>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</si>
  <si>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</si>
  <si>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</si>
  <si>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</si>
  <si>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</si>
  <si>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</si>
  <si>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</si>
  <si>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</si>
  <si>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</si>
  <si>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</si>
  <si>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</si>
  <si>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</si>
  <si>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</si>
  <si>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</si>
  <si>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</si>
  <si>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</si>
  <si>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</si>
  <si>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</si>
  <si>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</si>
  <si>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</si>
  <si>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</si>
  <si>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</si>
  <si>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</si>
  <si>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</si>
  <si>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</si>
  <si>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</si>
  <si>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</si>
  <si>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</si>
  <si>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</si>
  <si>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</si>
  <si>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</si>
  <si>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</si>
  <si>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</si>
  <si>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</si>
  <si>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</si>
  <si>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</si>
  <si>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</si>
  <si>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</si>
  <si>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</si>
  <si>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</si>
  <si>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</si>
  <si>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</si>
  <si>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</si>
  <si>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</si>
  <si>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</si>
  <si>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</si>
  <si>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</si>
  <si>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</si>
  <si>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</si>
  <si>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</si>
  <si>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</si>
  <si>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</si>
  <si>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</si>
  <si>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</si>
  <si>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</si>
  <si>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</si>
  <si>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</si>
  <si>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</si>
  <si>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</si>
  <si>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</si>
  <si>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</si>
  <si>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</si>
  <si>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</si>
  <si>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</si>
  <si>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</si>
  <si>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</si>
  <si>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</si>
  <si>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</si>
  <si>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</si>
  <si>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</si>
  <si>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</si>
  <si>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</si>
  <si>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</si>
  <si>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</si>
  <si>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</si>
  <si>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</si>
  <si>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</si>
  <si>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</si>
  <si>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</si>
  <si>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</si>
  <si>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</si>
  <si>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</si>
  <si>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</si>
  <si>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</si>
  <si>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</si>
  <si>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</si>
  <si>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</si>
  <si>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</si>
  <si>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</si>
  <si>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</si>
  <si>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</si>
  <si>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</si>
  <si>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</si>
  <si>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</si>
  <si>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</si>
  <si>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</si>
  <si>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</si>
  <si>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</si>
  <si>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</si>
  <si>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</si>
  <si>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</si>
  <si>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</si>
  <si>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</si>
  <si>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</si>
  <si>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</si>
  <si>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</si>
  <si>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</si>
  <si>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</si>
  <si>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</si>
  <si>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</si>
  <si>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</si>
  <si>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</si>
  <si>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</si>
  <si>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</si>
  <si>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</si>
  <si>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</si>
  <si>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</si>
  <si>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</si>
  <si>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</si>
  <si>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</si>
  <si>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</si>
  <si>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</si>
  <si>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</si>
  <si>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</si>
  <si>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</si>
  <si>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</si>
  <si>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</si>
  <si>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</si>
  <si>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</si>
  <si>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</si>
  <si>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</si>
  <si>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</si>
  <si>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</si>
  <si>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</si>
  <si>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</si>
  <si>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</si>
  <si>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</si>
  <si>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</si>
  <si>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</si>
  <si>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</si>
  <si>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</si>
  <si>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</si>
  <si>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</si>
  <si>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</si>
  <si>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</si>
  <si>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</si>
  <si>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</si>
  <si>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</si>
  <si>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</si>
  <si>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</si>
  <si>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</si>
  <si>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</si>
  <si>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</si>
  <si>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</si>
  <si>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</si>
  <si>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</si>
  <si>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</si>
  <si>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</si>
  <si>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</si>
  <si>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</si>
  <si>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</si>
  <si>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</si>
  <si>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</si>
  <si>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</si>
  <si>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</si>
  <si>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</si>
  <si>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</si>
  <si>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</si>
  <si>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</si>
  <si>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</si>
  <si>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</si>
  <si>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</si>
  <si>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</si>
  <si>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</si>
  <si>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</si>
  <si>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</si>
  <si>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</si>
  <si>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</si>
  <si>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</si>
  <si>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</si>
  <si>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</si>
  <si>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</si>
  <si>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</si>
  <si>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</si>
  <si>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</si>
  <si>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</si>
  <si>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</si>
  <si>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</si>
  <si>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</si>
  <si>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</si>
  <si>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</si>
  <si>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</si>
  <si>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</si>
  <si>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</si>
  <si>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</si>
  <si>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</si>
  <si>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</si>
  <si>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</si>
  <si>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</si>
  <si>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</si>
  <si>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</si>
  <si>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</si>
  <si>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</si>
  <si>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</si>
  <si>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</si>
  <si>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</si>
  <si>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</si>
  <si>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</si>
  <si>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</si>
  <si>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</si>
  <si>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</si>
  <si>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</si>
  <si>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</si>
  <si>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</si>
  <si>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</si>
  <si>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</si>
  <si>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</si>
  <si>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</si>
  <si>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</si>
  <si>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</si>
  <si>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</si>
  <si>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</si>
  <si>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</si>
  <si>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</si>
  <si>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</si>
  <si>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</si>
  <si>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</si>
  <si>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</si>
  <si>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</si>
  <si>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</si>
  <si>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</si>
  <si>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</si>
  <si>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</si>
  <si>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</si>
  <si>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</si>
  <si>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</si>
  <si>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</si>
  <si>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</si>
  <si>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</si>
  <si>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</si>
  <si>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</si>
  <si>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</si>
  <si>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</si>
  <si>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</si>
  <si>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</si>
  <si>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</si>
  <si>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</si>
  <si>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</si>
  <si>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</si>
  <si>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</si>
  <si>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</si>
  <si>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</si>
  <si>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</si>
  <si>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</si>
  <si>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</si>
  <si>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</si>
  <si>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</si>
  <si>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</si>
  <si>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</si>
  <si>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</si>
  <si>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</si>
  <si>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</si>
  <si>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</si>
  <si>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</si>
  <si>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</si>
  <si>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</si>
  <si>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</si>
  <si>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</si>
  <si>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</si>
  <si>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</si>
  <si>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</si>
  <si>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</si>
  <si>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</si>
  <si>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</si>
  <si>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</si>
  <si>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</si>
  <si>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</si>
  <si>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</si>
  <si>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</si>
  <si>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</si>
  <si>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</si>
  <si>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</si>
  <si>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</si>
  <si>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</si>
  <si>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</si>
  <si>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</si>
  <si>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</si>
  <si>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</si>
  <si>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</si>
  <si>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</si>
  <si>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</si>
  <si>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</si>
  <si>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</si>
  <si>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</si>
  <si>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</si>
  <si>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</si>
  <si>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</si>
  <si>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</si>
  <si>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</si>
  <si>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</si>
  <si>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</si>
  <si>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</si>
  <si>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</si>
  <si>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</si>
  <si>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</si>
  <si>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</si>
  <si>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</si>
  <si>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</si>
  <si>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</si>
  <si>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</si>
  <si>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</si>
  <si>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</si>
  <si>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</si>
  <si>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</si>
  <si>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</si>
  <si>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</si>
  <si>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</si>
  <si>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</si>
  <si>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</si>
  <si>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</si>
  <si>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</si>
  <si>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</si>
  <si>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</si>
  <si>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</si>
  <si>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</si>
  <si>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</si>
  <si>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</si>
  <si>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</si>
  <si>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</si>
  <si>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</si>
  <si>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</si>
  <si>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</si>
  <si>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</si>
  <si>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</si>
  <si>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</si>
  <si>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</si>
  <si>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</si>
  <si>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</si>
  <si>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</si>
  <si>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</si>
  <si>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</si>
  <si>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</si>
  <si>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</si>
  <si>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</si>
  <si>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</si>
  <si>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</si>
  <si>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</si>
  <si>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</si>
  <si>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</si>
  <si>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</si>
  <si>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</si>
  <si>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</si>
  <si>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</si>
  <si>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</si>
  <si>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</si>
  <si>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</si>
  <si>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</si>
  <si>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</si>
  <si>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</si>
  <si>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</si>
  <si>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</si>
  <si>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</si>
  <si>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</si>
  <si>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</si>
  <si>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</si>
  <si>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</si>
  <si>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</si>
  <si>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</si>
  <si>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</si>
  <si>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</si>
  <si>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</si>
  <si>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</si>
  <si>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</si>
  <si>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</si>
  <si>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</si>
  <si>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</si>
  <si>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</si>
  <si>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</si>
  <si>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</si>
  <si>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</si>
  <si>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</si>
  <si>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</si>
  <si>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</si>
  <si>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</si>
  <si>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</si>
  <si>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</si>
  <si>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</si>
  <si>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</si>
  <si>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</si>
  <si>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</si>
  <si>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</si>
  <si>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</si>
  <si>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</si>
  <si>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</si>
  <si>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</si>
  <si>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</si>
  <si>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</si>
  <si>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</si>
  <si>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</si>
  <si>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</si>
  <si>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</si>
  <si>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</si>
  <si>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</si>
  <si>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</si>
  <si>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</si>
  <si>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</si>
  <si>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</si>
  <si>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</si>
  <si>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</si>
  <si>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</si>
  <si>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</si>
  <si>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</si>
  <si>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</si>
  <si>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</si>
  <si>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</si>
  <si>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</si>
  <si>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</si>
  <si>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</si>
  <si>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</si>
  <si>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</si>
  <si>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</si>
  <si>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</si>
  <si>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</si>
  <si>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</si>
  <si>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</si>
  <si>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</si>
  <si>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</si>
  <si>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</si>
  <si>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</si>
  <si>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</si>
  <si>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</si>
  <si>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</si>
  <si>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</si>
  <si>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</si>
  <si>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</si>
  <si>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</si>
  <si>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</si>
  <si>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</si>
  <si>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</si>
  <si>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</si>
  <si>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</si>
  <si>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</si>
  <si>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</si>
  <si>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</si>
  <si>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</si>
  <si>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</si>
  <si>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</si>
  <si>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</si>
  <si>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</si>
  <si>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</si>
  <si>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</si>
  <si>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</si>
  <si>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</si>
  <si>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</si>
  <si>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</si>
  <si>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</si>
  <si>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</si>
  <si>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</si>
  <si>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</si>
  <si>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</si>
  <si>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</si>
  <si>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</si>
  <si>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</si>
  <si>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</si>
  <si>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</si>
  <si>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</si>
  <si>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</si>
  <si>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</si>
  <si>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</si>
  <si>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</si>
  <si>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</si>
  <si>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</si>
  <si>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</si>
  <si>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</si>
  <si>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</si>
  <si>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</si>
  <si>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</si>
  <si>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</si>
  <si>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</si>
  <si>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</si>
  <si>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</si>
  <si>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</si>
  <si>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</si>
  <si>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</si>
  <si>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</si>
  <si>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</si>
  <si>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</si>
  <si>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</si>
  <si>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</si>
  <si>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</si>
  <si>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</si>
  <si>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</si>
  <si>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</si>
  <si>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</si>
  <si>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</si>
  <si>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</si>
  <si>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</si>
  <si>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</si>
  <si>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</si>
  <si>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</si>
  <si>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</si>
  <si>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</si>
  <si>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</si>
  <si>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</si>
  <si>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</si>
  <si>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</si>
  <si>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</si>
  <si>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</si>
  <si>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</si>
  <si>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</si>
  <si>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</si>
  <si>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</si>
  <si>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</si>
  <si>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</si>
  <si>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</si>
  <si>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</si>
  <si>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</si>
  <si>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</si>
  <si>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</si>
  <si>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</si>
  <si>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</si>
  <si>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</si>
  <si>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</si>
  <si>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</si>
  <si>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</si>
  <si>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</si>
  <si>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</si>
  <si>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</si>
  <si>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</si>
  <si>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</si>
  <si>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</si>
  <si>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</si>
  <si>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</si>
  <si>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</si>
  <si>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</si>
  <si>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</si>
  <si>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</si>
  <si>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</si>
  <si>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</si>
  <si>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</si>
  <si>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</si>
  <si>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</si>
  <si>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</si>
  <si>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</si>
  <si>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</si>
  <si>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</si>
  <si>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</si>
  <si>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</si>
  <si>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</si>
  <si>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</si>
  <si>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</si>
  <si>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</si>
  <si>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</si>
  <si>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</si>
  <si>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</si>
  <si>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</si>
  <si>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</si>
  <si>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</si>
  <si>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</si>
  <si>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</si>
  <si>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</si>
  <si>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</si>
  <si>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</si>
  <si>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</si>
  <si>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</si>
  <si>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</si>
  <si>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</si>
  <si>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</si>
  <si>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</si>
  <si>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</si>
  <si>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</si>
  <si>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</si>
  <si>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</si>
  <si>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</si>
  <si>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</si>
  <si>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</si>
  <si>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</si>
  <si>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</si>
  <si>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</si>
  <si>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</si>
  <si>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</si>
  <si>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</si>
  <si>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</si>
  <si>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</si>
  <si>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</si>
  <si>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</si>
  <si>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</si>
  <si>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</si>
  <si>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</si>
  <si>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</si>
  <si>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</si>
  <si>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</si>
  <si>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</si>
  <si>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</si>
  <si>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</si>
  <si>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</si>
  <si>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</si>
  <si>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</si>
  <si>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</si>
  <si>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</si>
  <si>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</si>
  <si>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</si>
  <si>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</si>
  <si>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</si>
  <si>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</si>
  <si>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</si>
  <si>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</si>
  <si>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</si>
  <si>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</si>
  <si>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</si>
  <si>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</si>
  <si>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</si>
  <si>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</si>
  <si>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</si>
  <si>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</si>
  <si>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</si>
  <si>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</si>
  <si>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</si>
  <si>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</si>
  <si>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</si>
  <si>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</si>
  <si>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</si>
  <si>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</si>
  <si>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</si>
  <si>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</si>
  <si>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</si>
  <si>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</si>
  <si>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</si>
  <si>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</si>
  <si>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</si>
  <si>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</si>
  <si>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</si>
  <si>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</si>
  <si>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</si>
  <si>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</si>
  <si>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</si>
  <si>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</si>
  <si>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</si>
  <si>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</si>
  <si>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</si>
  <si>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</si>
  <si>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</si>
  <si>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</si>
  <si>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</si>
  <si>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</si>
  <si>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</si>
  <si>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</si>
  <si>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</si>
  <si>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</si>
  <si>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</si>
  <si>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</si>
  <si>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</si>
  <si>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</si>
  <si>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</si>
  <si>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</si>
  <si>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</si>
  <si>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</si>
  <si>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</si>
  <si>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</si>
  <si>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</si>
  <si>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</si>
  <si>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</si>
  <si>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</si>
  <si>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</si>
  <si>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</si>
  <si>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</si>
  <si>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</si>
  <si>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</si>
  <si>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</si>
  <si>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</si>
  <si>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</si>
  <si>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</si>
  <si>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</si>
  <si>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</si>
  <si>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</si>
  <si>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</si>
  <si>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</si>
  <si>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</si>
  <si>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</si>
  <si>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</si>
  <si>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</si>
  <si>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</si>
  <si>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</si>
  <si>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</si>
  <si>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</si>
  <si>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</si>
  <si>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</si>
  <si>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</si>
  <si>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</si>
  <si>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</si>
  <si>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</si>
  <si>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</si>
  <si>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</si>
  <si>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</si>
  <si>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</si>
  <si>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</si>
  <si>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</si>
  <si>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</si>
  <si>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</si>
  <si>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</si>
  <si>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</si>
  <si>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</si>
  <si>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</si>
  <si>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</si>
  <si>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</si>
  <si>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</si>
  <si>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</si>
  <si>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</si>
  <si>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</si>
  <si>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</si>
  <si>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</si>
  <si>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</si>
  <si>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</si>
  <si>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</si>
  <si>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</si>
  <si>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</si>
  <si>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</si>
  <si>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</si>
  <si>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</si>
  <si>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</si>
  <si>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</si>
  <si>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</si>
  <si>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</si>
  <si>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</si>
  <si>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</si>
  <si>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</si>
  <si>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</si>
  <si>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</si>
  <si>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</si>
  <si>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</si>
  <si>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</si>
  <si>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</si>
  <si>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</si>
  <si>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</si>
  <si>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</si>
  <si>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</si>
  <si>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</si>
  <si>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</si>
  <si>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</si>
  <si>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</si>
  <si>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</si>
  <si>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</si>
  <si>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</si>
  <si>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</si>
  <si>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</si>
  <si>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</si>
  <si>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</si>
  <si>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</si>
  <si>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</si>
  <si>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</si>
  <si>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</si>
  <si>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</si>
  <si>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</si>
  <si>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</si>
  <si>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</si>
  <si>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</si>
  <si>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</si>
  <si>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</si>
  <si>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</si>
  <si>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</si>
  <si>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</si>
  <si>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</si>
  <si>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</si>
  <si>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</si>
  <si>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</si>
  <si>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</si>
  <si>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</si>
  <si>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</si>
  <si>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</si>
  <si>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</si>
  <si>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</si>
  <si>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</si>
  <si>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</si>
  <si>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</si>
  <si>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</si>
  <si>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</si>
  <si>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</si>
  <si>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</si>
  <si>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</si>
  <si>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</si>
  <si>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</si>
  <si>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</si>
  <si>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</si>
  <si>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</si>
  <si>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</si>
  <si>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</si>
  <si>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</si>
  <si>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</si>
  <si>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</si>
  <si>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</si>
  <si>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</si>
  <si>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</si>
  <si>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</si>
  <si>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</si>
  <si>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</si>
  <si>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</si>
  <si>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</si>
  <si>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</si>
  <si>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</si>
  <si>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</si>
  <si>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</si>
  <si>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</si>
  <si>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</si>
  <si>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</si>
  <si>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</si>
  <si>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</si>
  <si>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</si>
  <si>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</si>
  <si>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</si>
  <si>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</si>
  <si>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</si>
  <si>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</si>
  <si>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</si>
  <si>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</si>
  <si>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</si>
  <si>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</si>
  <si>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</si>
  <si>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</si>
  <si>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</si>
  <si>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</si>
  <si>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</si>
  <si>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</si>
  <si>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</si>
  <si>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</si>
  <si>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</si>
  <si>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</si>
  <si>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</si>
  <si>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</si>
  <si>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</si>
  <si>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</si>
  <si>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</si>
  <si>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</si>
  <si>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</si>
  <si>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</si>
  <si>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</si>
  <si>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</si>
  <si>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</si>
  <si>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</si>
  <si>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</si>
  <si>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</si>
  <si>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</si>
  <si>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</si>
  <si>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</si>
  <si>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</si>
  <si>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</si>
  <si>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</si>
  <si>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</si>
  <si>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</si>
  <si>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</si>
  <si>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</si>
  <si>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</si>
  <si>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</si>
  <si>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</si>
  <si>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</si>
  <si>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</si>
  <si>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</si>
  <si>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</si>
  <si>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</si>
  <si>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</si>
  <si>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</si>
  <si>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</si>
  <si>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</si>
  <si>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</si>
  <si>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</si>
  <si>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</si>
  <si>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</si>
  <si>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</si>
  <si>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</si>
  <si>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</si>
  <si>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</si>
  <si>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</si>
  <si>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</si>
  <si>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</si>
  <si>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</si>
  <si>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</si>
  <si>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</si>
  <si>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</si>
  <si>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</si>
  <si>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</si>
  <si>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</si>
  <si>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</si>
  <si>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</si>
  <si>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</si>
  <si>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</si>
  <si>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</si>
  <si>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</si>
  <si>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</si>
  <si>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</si>
  <si>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</si>
  <si>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</si>
  <si>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</si>
  <si>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</si>
  <si>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</si>
  <si>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</si>
  <si>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</si>
  <si>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</si>
  <si>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</si>
  <si>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</si>
  <si>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</si>
  <si>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</si>
  <si>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</si>
  <si>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</si>
  <si>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</si>
  <si>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</si>
  <si>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</si>
  <si>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</si>
  <si>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</si>
  <si>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</si>
  <si>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</si>
  <si>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</si>
  <si>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</si>
  <si>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</si>
  <si>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</si>
  <si>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</si>
  <si>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</si>
  <si>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</si>
  <si>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</si>
  <si>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</si>
  <si>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</si>
  <si>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</si>
  <si>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</si>
  <si>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</si>
  <si>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</si>
  <si>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</si>
  <si>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</si>
  <si>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</si>
  <si>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</si>
  <si>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</si>
  <si>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</si>
  <si>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</si>
  <si>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</si>
  <si>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</si>
  <si>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</si>
  <si>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</si>
  <si>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</si>
  <si>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</si>
  <si>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</si>
  <si>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</si>
  <si>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</si>
  <si>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</si>
  <si>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</si>
  <si>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</si>
  <si>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</si>
  <si>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</si>
  <si>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</si>
  <si>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</si>
  <si>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</si>
  <si>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</si>
  <si>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</si>
  <si>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</si>
  <si>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</si>
  <si>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</si>
  <si>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</si>
  <si>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</si>
  <si>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</si>
  <si>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</si>
  <si>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</si>
  <si>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</si>
  <si>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</si>
  <si>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</si>
  <si>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</si>
  <si>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</si>
  <si>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</si>
  <si>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</si>
  <si>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</si>
  <si>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</si>
  <si>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</si>
  <si>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</si>
  <si>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</si>
  <si>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</si>
  <si>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</si>
  <si>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</si>
  <si>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</si>
  <si>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</si>
  <si>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</si>
  <si>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</si>
  <si>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</si>
  <si>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</si>
  <si>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</si>
  <si>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</si>
  <si>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</si>
  <si>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</si>
  <si>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</si>
  <si>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</si>
  <si>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</si>
  <si>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</si>
  <si>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</si>
  <si>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</si>
  <si>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</si>
  <si>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</si>
  <si>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</si>
  <si>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</si>
  <si>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</si>
  <si>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</si>
  <si>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</si>
  <si>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</si>
  <si>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</si>
  <si>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</si>
  <si>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</si>
  <si>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</si>
  <si>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</si>
  <si>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</si>
  <si>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</si>
  <si>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</si>
  <si>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</si>
  <si>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</si>
  <si>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</si>
  <si>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</si>
  <si>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</si>
  <si>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</si>
  <si>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</si>
  <si>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</si>
  <si>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</si>
  <si>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</si>
  <si>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</si>
  <si>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</si>
  <si>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</si>
  <si>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</si>
  <si>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</si>
  <si>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</si>
  <si>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</si>
  <si>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</si>
  <si>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</si>
  <si>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</si>
  <si>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</si>
  <si>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</si>
  <si>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</si>
  <si>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</si>
  <si>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</si>
  <si>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</si>
  <si>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</si>
  <si>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</si>
  <si>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</si>
  <si>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</si>
  <si>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</si>
  <si>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</si>
  <si>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</si>
  <si>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</si>
  <si>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</si>
  <si>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</si>
  <si>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</si>
  <si>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</si>
  <si>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</si>
  <si>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</si>
  <si>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</si>
  <si>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</si>
  <si>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</si>
  <si>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</si>
  <si>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</si>
  <si>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</si>
  <si>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</si>
  <si>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</si>
  <si>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</si>
  <si>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</si>
  <si>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</si>
  <si>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</si>
  <si>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</si>
  <si>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</si>
  <si>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</si>
  <si>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</si>
  <si>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</si>
  <si>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</si>
  <si>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</si>
  <si>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</si>
  <si>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</si>
  <si>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</si>
  <si>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</si>
  <si>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</si>
  <si>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</si>
  <si>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</si>
  <si>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</si>
  <si>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</si>
  <si>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</si>
  <si>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</si>
  <si>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</si>
  <si>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</si>
  <si>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</si>
  <si>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</si>
  <si>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</si>
  <si>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</si>
  <si>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</si>
  <si>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</si>
  <si>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</si>
  <si>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</si>
  <si>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</si>
  <si>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</si>
  <si>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</si>
  <si>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</si>
  <si>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</si>
  <si>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</si>
  <si>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</si>
  <si>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</si>
  <si>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</si>
  <si>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</si>
  <si>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</si>
  <si>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</si>
  <si>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</si>
  <si>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</si>
  <si>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</si>
  <si>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</si>
  <si>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</si>
  <si>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</si>
  <si>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</si>
  <si>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</si>
  <si>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</si>
  <si>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</si>
  <si>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</si>
  <si>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</si>
  <si>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</si>
  <si>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</si>
  <si>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</si>
  <si>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</si>
  <si>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</si>
  <si>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</si>
  <si>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</si>
  <si>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</si>
  <si>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</si>
  <si>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</si>
  <si>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</si>
  <si>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</si>
  <si>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</si>
  <si>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</si>
  <si>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</si>
  <si>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</si>
  <si>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</si>
  <si>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</si>
  <si>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</si>
  <si>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</si>
  <si>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</si>
  <si>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</si>
  <si>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</si>
  <si>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</si>
  <si>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</si>
  <si>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</si>
  <si>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</si>
  <si>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</si>
  <si>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</si>
  <si>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</si>
  <si>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</si>
  <si>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</si>
  <si>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</si>
  <si>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</si>
  <si>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</si>
  <si>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</si>
  <si>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</si>
  <si>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</si>
  <si>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</si>
  <si>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</si>
  <si>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</si>
  <si>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</si>
  <si>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</si>
  <si>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</si>
  <si>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</si>
  <si>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</si>
  <si>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</si>
  <si>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</si>
  <si>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</si>
  <si>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</si>
  <si>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</si>
  <si>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</si>
  <si>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</si>
  <si>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</si>
  <si>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</si>
  <si>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</si>
  <si>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</si>
  <si>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</si>
  <si>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</si>
  <si>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</si>
  <si>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</si>
  <si>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</si>
  <si>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</si>
  <si>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</si>
  <si>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</si>
  <si>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</si>
  <si>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</si>
  <si>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</si>
  <si>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</si>
  <si>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</si>
  <si>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</si>
  <si>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</si>
  <si>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</si>
  <si>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</si>
  <si>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</si>
  <si>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</si>
  <si>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</si>
  <si>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</si>
  <si>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</si>
  <si>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</si>
  <si>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</si>
  <si>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</si>
  <si>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</si>
  <si>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</si>
  <si>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</si>
  <si>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</si>
  <si>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</si>
  <si>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</si>
  <si>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</si>
  <si>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</si>
  <si>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</si>
  <si>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</si>
  <si>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</si>
  <si>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</si>
  <si>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</si>
  <si>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</si>
  <si>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</si>
  <si>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</si>
  <si>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</si>
  <si>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</si>
  <si>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</si>
  <si>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</si>
  <si>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</si>
  <si>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</si>
  <si>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</si>
  <si>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</si>
  <si>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</si>
  <si>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</si>
  <si>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</si>
  <si>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</si>
  <si>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</si>
  <si>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</si>
  <si>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</si>
  <si>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</si>
  <si>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</si>
  <si>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</si>
  <si>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</si>
  <si>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</si>
  <si>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</si>
  <si>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</si>
  <si>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</si>
  <si>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</si>
  <si>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</si>
  <si>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</si>
  <si>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</si>
  <si>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</si>
  <si>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</si>
  <si>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</si>
  <si>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</si>
  <si>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</si>
  <si>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</si>
  <si>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</si>
  <si>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</si>
  <si>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</si>
  <si>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</si>
  <si>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</si>
  <si>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</si>
  <si>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</si>
  <si>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</si>
  <si>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</si>
  <si>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</si>
  <si>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</si>
  <si>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</si>
  <si>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</si>
  <si>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</si>
  <si>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</si>
  <si>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</si>
  <si>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</si>
  <si>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</si>
  <si>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</si>
  <si>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</si>
  <si>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</si>
  <si>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</si>
  <si>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</si>
  <si>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</si>
  <si>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</si>
  <si>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</si>
  <si>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</si>
  <si>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</si>
  <si>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</si>
  <si>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</si>
  <si>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</si>
  <si>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</si>
  <si>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</si>
  <si>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</si>
  <si>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</si>
  <si>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</si>
  <si>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</si>
  <si>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</si>
  <si>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</si>
  <si>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</si>
  <si>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</si>
  <si>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</si>
  <si>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</si>
  <si>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</si>
  <si>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</si>
  <si>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</si>
  <si>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</si>
  <si>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</si>
  <si>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</si>
  <si>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</si>
  <si>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</si>
  <si>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</si>
  <si>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</si>
  <si>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</si>
  <si>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</si>
  <si>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</si>
  <si>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</si>
  <si>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</si>
  <si>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</si>
  <si>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</si>
  <si>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</si>
  <si>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</si>
  <si>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</si>
  <si>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</si>
  <si>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</si>
  <si>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</si>
  <si>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</si>
  <si>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</si>
  <si>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</si>
  <si>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</si>
  <si>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</si>
  <si>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</si>
  <si>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</si>
  <si>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</si>
  <si>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</si>
  <si>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</si>
  <si>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</si>
  <si>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</si>
  <si>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</si>
  <si>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</si>
  <si>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</si>
  <si>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</si>
  <si>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</si>
  <si>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</si>
  <si>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</si>
  <si>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</si>
  <si>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</si>
  <si>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</si>
  <si>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</si>
  <si>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</si>
  <si>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</si>
  <si>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</si>
  <si>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</si>
  <si>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</si>
  <si>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</si>
  <si>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</si>
  <si>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</si>
  <si>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</si>
  <si>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</si>
  <si>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</si>
  <si>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</si>
  <si>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</si>
  <si>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</si>
  <si>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</si>
  <si>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</si>
  <si>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</si>
  <si>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</si>
  <si>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</si>
  <si>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</si>
  <si>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</si>
  <si>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</si>
  <si>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</si>
  <si>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</si>
  <si>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</si>
  <si>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</si>
  <si>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</si>
  <si>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</si>
  <si>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</si>
  <si>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</si>
  <si>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</si>
  <si>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</si>
  <si>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</si>
  <si>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</si>
  <si>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</si>
  <si>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</si>
  <si>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</si>
  <si>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</si>
  <si>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</si>
  <si>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</si>
  <si>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</si>
  <si>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</si>
  <si>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</si>
  <si>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</si>
  <si>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</si>
  <si>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</si>
  <si>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</si>
  <si>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</si>
  <si>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</si>
  <si>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</si>
  <si>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</si>
  <si>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</si>
  <si>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</si>
  <si>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</si>
  <si>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</si>
  <si>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</si>
  <si>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</si>
  <si>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</si>
  <si>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</si>
  <si>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</si>
  <si>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</si>
  <si>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</si>
  <si>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</si>
  <si>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</si>
  <si>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</si>
  <si>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</si>
  <si>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</si>
  <si>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</si>
  <si>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</si>
  <si>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</si>
  <si>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</si>
  <si>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</si>
  <si>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</si>
  <si>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</si>
  <si>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</si>
  <si>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</si>
  <si>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</si>
  <si>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</si>
  <si>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</si>
  <si>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</si>
  <si>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</si>
  <si>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</si>
  <si>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</si>
  <si>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</si>
  <si>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</si>
  <si>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</si>
  <si>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</si>
  <si>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</si>
  <si>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</si>
  <si>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</si>
  <si>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</si>
  <si>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</si>
  <si>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</si>
  <si>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</si>
  <si>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</si>
  <si>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</si>
  <si>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</si>
  <si>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</si>
  <si>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</si>
  <si>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</si>
  <si>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</si>
  <si>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</si>
  <si>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</si>
  <si>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</si>
  <si>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</si>
  <si>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</si>
  <si>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</si>
  <si>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</si>
  <si>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</si>
  <si>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</si>
  <si>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</si>
  <si>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</si>
  <si>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</si>
  <si>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</si>
  <si>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</si>
  <si>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</si>
  <si>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</si>
  <si>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</si>
  <si>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</si>
  <si>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</si>
  <si>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</si>
  <si>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</si>
  <si>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</si>
  <si>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</si>
  <si>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</si>
  <si>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</si>
  <si>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</si>
  <si>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</si>
  <si>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</si>
  <si>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</si>
  <si>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</si>
  <si>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</si>
  <si>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</si>
  <si>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</si>
  <si>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</si>
  <si>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</si>
  <si>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</si>
  <si>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</si>
  <si>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</si>
  <si>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</si>
  <si>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</si>
  <si>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</si>
  <si>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</si>
  <si>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</si>
  <si>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</si>
  <si>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</si>
  <si>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</si>
  <si>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</si>
  <si>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</si>
  <si>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</si>
  <si>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</si>
  <si>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</si>
  <si>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</si>
  <si>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</si>
  <si>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</si>
  <si>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</si>
  <si>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</si>
  <si>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</si>
  <si>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</si>
  <si>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</si>
  <si>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</si>
  <si>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</si>
  <si>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</si>
  <si>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</si>
  <si>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</si>
  <si>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</si>
  <si>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</si>
  <si>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</si>
  <si>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</si>
  <si>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</si>
  <si>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</si>
  <si>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</si>
  <si>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</si>
  <si>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</si>
  <si>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</si>
  <si>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</si>
  <si>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</si>
  <si>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</si>
  <si>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</si>
  <si>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</si>
  <si>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</si>
  <si>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</si>
  <si>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</si>
  <si>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</si>
  <si>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</si>
  <si>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</si>
  <si>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</si>
  <si>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</si>
  <si>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</si>
  <si>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</si>
  <si>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</si>
  <si>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</si>
  <si>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</si>
  <si>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</si>
  <si>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</si>
  <si>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</si>
  <si>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</si>
  <si>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</si>
  <si>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</si>
  <si>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</si>
  <si>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</si>
  <si>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</si>
  <si>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</si>
  <si>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</si>
  <si>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</si>
  <si>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</si>
  <si>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</si>
  <si>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</si>
  <si>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</si>
  <si>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</si>
  <si>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</si>
  <si>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</si>
  <si>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</si>
  <si>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</si>
  <si>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</si>
  <si>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</si>
  <si>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</si>
  <si>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</si>
  <si>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</si>
  <si>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</si>
  <si>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</si>
  <si>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</si>
  <si>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</si>
  <si>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</si>
  <si>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</si>
  <si>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</si>
  <si>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</si>
  <si>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</si>
  <si>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</si>
  <si>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</si>
  <si>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</si>
  <si>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</si>
  <si>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</si>
  <si>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</si>
  <si>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</si>
  <si>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</si>
  <si>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</si>
  <si>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</si>
  <si>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</si>
  <si>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</si>
  <si>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</si>
  <si>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</si>
  <si>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</si>
  <si>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</si>
  <si>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</si>
  <si>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</si>
  <si>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</si>
  <si>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</si>
  <si>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</si>
  <si>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</si>
  <si>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</si>
  <si>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</si>
  <si>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</si>
  <si>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</si>
  <si>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</si>
  <si>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</si>
  <si>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</si>
  <si>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</si>
  <si>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</si>
  <si>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</si>
  <si>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</si>
  <si>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</si>
  <si>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</si>
  <si>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</si>
  <si>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</si>
  <si>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</si>
  <si>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</si>
  <si>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</si>
  <si>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</si>
  <si>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</si>
  <si>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</si>
  <si>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</si>
  <si>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</si>
  <si>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</si>
  <si>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</si>
  <si>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</si>
  <si>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</si>
  <si>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</si>
  <si>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</si>
  <si>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</si>
  <si>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</si>
  <si>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</si>
  <si>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</si>
  <si>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</si>
  <si>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</si>
  <si>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</si>
  <si>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</si>
  <si>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</si>
  <si>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</si>
  <si>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</si>
  <si>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</si>
  <si>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</si>
  <si>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</si>
  <si>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</si>
  <si>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</si>
  <si>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</si>
  <si>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</si>
  <si>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</si>
  <si>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</si>
  <si>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</si>
  <si>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</si>
  <si>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</si>
  <si>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</si>
  <si>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</si>
  <si>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</si>
  <si>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</si>
  <si>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</si>
  <si>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</si>
  <si>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</si>
  <si>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</si>
  <si>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</si>
  <si>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</si>
  <si>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</si>
  <si>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</si>
  <si>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</si>
  <si>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</si>
  <si>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</si>
  <si>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</si>
  <si>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</si>
  <si>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</si>
  <si>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</si>
  <si>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</si>
  <si>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</si>
  <si>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</si>
  <si>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</si>
  <si>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</si>
  <si>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</si>
  <si>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</si>
  <si>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</si>
  <si>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</si>
  <si>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</si>
  <si>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</si>
  <si>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</si>
  <si>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</si>
  <si>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</si>
  <si>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</si>
  <si>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</si>
  <si>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</si>
  <si>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</si>
  <si>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</si>
  <si>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</si>
  <si>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</si>
  <si>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</si>
  <si>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</si>
  <si>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</si>
  <si>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</si>
  <si>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</si>
  <si>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</si>
  <si>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</si>
  <si>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</si>
  <si>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</si>
  <si>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</si>
  <si>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</si>
  <si>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</si>
  <si>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</si>
  <si>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</si>
  <si>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</si>
  <si>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</si>
  <si>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</si>
  <si>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</si>
  <si>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</si>
  <si>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</si>
  <si>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</si>
  <si>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</si>
  <si>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</si>
  <si>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</si>
  <si>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</si>
  <si>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</si>
  <si>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</si>
  <si>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</si>
  <si>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</si>
  <si>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</si>
  <si>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</si>
  <si>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</si>
  <si>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</si>
  <si>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</si>
  <si>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</si>
  <si>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</si>
  <si>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</si>
  <si>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</si>
  <si>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</si>
  <si>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</si>
  <si>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</si>
  <si>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</si>
  <si>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</si>
  <si>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</si>
  <si>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</si>
  <si>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</si>
  <si>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</si>
  <si>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</si>
  <si>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</si>
  <si>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</si>
  <si>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</si>
  <si>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</si>
  <si>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</si>
  <si>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</si>
  <si>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</si>
  <si>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</si>
  <si>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</si>
  <si>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</si>
  <si>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</si>
  <si>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</si>
  <si>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</si>
  <si>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</si>
  <si>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</si>
  <si>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</si>
  <si>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</si>
  <si>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</si>
  <si>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</si>
  <si>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</si>
  <si>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</si>
  <si>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</si>
  <si>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</si>
  <si>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</si>
  <si>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</si>
  <si>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</si>
  <si>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</si>
  <si>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</si>
  <si>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</si>
  <si>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</si>
  <si>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</si>
  <si>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</si>
  <si>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</si>
  <si>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</si>
  <si>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</si>
  <si>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</si>
  <si>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</si>
  <si>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</si>
  <si>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</si>
  <si>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</si>
  <si>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</si>
  <si>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</si>
  <si>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</si>
  <si>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</si>
  <si>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</si>
  <si>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</si>
  <si>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</si>
  <si>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</si>
  <si>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</si>
  <si>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</si>
  <si>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</si>
  <si>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</si>
  <si>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</si>
  <si>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</si>
  <si>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</si>
  <si>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</si>
  <si>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</si>
  <si>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</si>
  <si>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</si>
  <si>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</si>
  <si>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</si>
  <si>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</si>
  <si>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</si>
  <si>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</si>
  <si>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</si>
  <si>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</si>
  <si>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</si>
  <si>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</si>
  <si>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</si>
  <si>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</si>
  <si>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</si>
  <si>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</si>
  <si>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</si>
  <si>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</si>
  <si>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</si>
  <si>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</si>
  <si>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</si>
  <si>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</si>
  <si>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</si>
  <si>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</si>
  <si>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</si>
  <si>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</si>
  <si>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</si>
  <si>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</si>
  <si>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</si>
  <si>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</si>
  <si>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</si>
  <si>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</si>
  <si>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</si>
  <si>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</si>
  <si>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</si>
  <si>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</si>
  <si>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</si>
  <si>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</si>
  <si>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</si>
  <si>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</si>
  <si>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</si>
  <si>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</si>
  <si>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</si>
  <si>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</si>
  <si>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</si>
  <si>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</si>
  <si>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</si>
  <si>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</si>
  <si>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</si>
  <si>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</si>
  <si>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</si>
  <si>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</si>
  <si>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</si>
  <si>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</si>
  <si>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</si>
  <si>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</si>
  <si>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</si>
  <si>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</si>
  <si>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</si>
  <si>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</si>
  <si>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</si>
  <si>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</si>
  <si>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</si>
  <si>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</si>
  <si>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</si>
  <si>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</si>
  <si>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</si>
  <si>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</si>
  <si>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</si>
  <si>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</si>
  <si>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</si>
  <si>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</si>
  <si>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</si>
  <si>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</si>
  <si>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</si>
  <si>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</si>
  <si>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</si>
  <si>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</si>
  <si>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</si>
  <si>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</si>
  <si>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</si>
  <si>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</si>
  <si>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</si>
  <si>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</si>
  <si>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</si>
  <si>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</si>
  <si>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</si>
  <si>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</si>
  <si>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</si>
  <si>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</si>
  <si>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</si>
  <si>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</si>
  <si>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</si>
  <si>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</si>
  <si>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</si>
  <si>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</si>
  <si>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</si>
  <si>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</si>
  <si>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</si>
  <si>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</si>
  <si>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</si>
  <si>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</si>
  <si>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</si>
  <si>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</si>
  <si>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</si>
  <si>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</si>
  <si>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</si>
  <si>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</si>
  <si>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</si>
  <si>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</si>
  <si>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</si>
  <si>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</si>
  <si>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</si>
  <si>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</si>
  <si>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</si>
  <si>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</si>
  <si>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</si>
  <si>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</si>
  <si>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</si>
  <si>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</si>
  <si>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</si>
  <si>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</si>
  <si>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</si>
  <si>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</si>
  <si>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</si>
  <si>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</si>
  <si>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</si>
  <si>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</si>
  <si>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</si>
  <si>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</si>
  <si>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</si>
  <si>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</si>
  <si>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</si>
  <si>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</si>
  <si>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</si>
  <si>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</si>
  <si>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</si>
  <si>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</si>
  <si>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</si>
  <si>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</si>
  <si>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</si>
  <si>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</si>
  <si>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</si>
  <si>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</si>
  <si>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</si>
  <si>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</si>
  <si>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</si>
  <si>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</si>
  <si>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</si>
  <si>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</si>
  <si>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</si>
  <si>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</si>
  <si>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</si>
  <si>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</si>
  <si>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</si>
  <si>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</si>
  <si>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</si>
  <si>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</si>
  <si>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</si>
  <si>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</si>
  <si>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</si>
  <si>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</si>
  <si>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</si>
  <si>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</si>
  <si>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</si>
  <si>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</si>
  <si>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</si>
  <si>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</si>
  <si>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</si>
  <si>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</si>
  <si>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</si>
  <si>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</si>
  <si>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</si>
  <si>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</si>
  <si>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</si>
  <si>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</si>
  <si>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</si>
  <si>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</si>
  <si>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</si>
  <si>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</si>
  <si>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</si>
  <si>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</si>
  <si>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</si>
  <si>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</si>
  <si>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</si>
  <si>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</si>
  <si>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</si>
  <si>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</si>
  <si>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</si>
  <si>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</si>
  <si>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</si>
  <si>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</si>
  <si>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</si>
  <si>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</si>
  <si>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</si>
  <si>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</si>
  <si>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</si>
  <si>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</si>
  <si>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</si>
  <si>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</si>
  <si>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</si>
  <si>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</si>
  <si>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</si>
  <si>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</si>
  <si>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</si>
  <si>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</si>
  <si>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</si>
  <si>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</si>
  <si>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</si>
  <si>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</si>
  <si>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</si>
  <si>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</si>
  <si>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</si>
  <si>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</si>
  <si>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</si>
  <si>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</si>
  <si>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</si>
  <si>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</si>
  <si>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</si>
  <si>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</si>
  <si>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</si>
  <si>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</si>
  <si>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</si>
  <si>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</si>
  <si>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</si>
  <si>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</si>
  <si>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</si>
  <si>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</si>
  <si>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</si>
  <si>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</si>
  <si>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</si>
  <si>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</si>
  <si>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</si>
  <si>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</si>
  <si>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</si>
  <si>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</si>
  <si>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</si>
  <si>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</si>
  <si>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</si>
  <si>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</si>
  <si>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</si>
  <si>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</si>
  <si>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</si>
  <si>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</si>
  <si>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</si>
  <si>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</si>
  <si>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</si>
  <si>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</si>
  <si>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</si>
  <si>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</si>
  <si>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</si>
  <si>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</si>
  <si>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</si>
  <si>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</si>
  <si>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</si>
  <si>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</si>
  <si>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</si>
  <si>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</si>
  <si>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</si>
  <si>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</si>
  <si>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</si>
  <si>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</si>
  <si>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</si>
  <si>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</si>
  <si>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</si>
  <si>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</si>
  <si>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</si>
  <si>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</si>
  <si>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</si>
  <si>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</si>
  <si>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</si>
  <si>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</si>
  <si>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</si>
  <si>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</si>
  <si>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</si>
  <si>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</si>
  <si>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</si>
  <si>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</si>
  <si>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</si>
  <si>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</si>
  <si>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</si>
  <si>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</si>
  <si>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</si>
  <si>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</si>
  <si>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</si>
  <si>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</si>
  <si>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</si>
  <si>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</si>
  <si>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</si>
  <si>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</si>
  <si>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</si>
  <si>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</si>
  <si>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</si>
  <si>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</si>
  <si>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</si>
  <si>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</si>
  <si>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</si>
  <si>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</si>
  <si>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</si>
  <si>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</si>
  <si>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</si>
  <si>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</si>
  <si>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</si>
  <si>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</si>
  <si>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</si>
  <si>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</si>
  <si>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</si>
  <si>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</si>
  <si>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</si>
  <si>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</si>
  <si>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</si>
  <si>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</si>
  <si>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</si>
  <si>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</si>
  <si>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</si>
  <si>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</si>
  <si>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</si>
  <si>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</si>
  <si>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</si>
  <si>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</si>
  <si>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</si>
  <si>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</si>
  <si>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</si>
  <si>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</si>
  <si>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</si>
  <si>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</si>
  <si>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</si>
  <si>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</si>
  <si>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</si>
  <si>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</si>
  <si>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</si>
  <si>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</si>
  <si>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</si>
  <si>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</si>
  <si>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</si>
  <si>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</si>
  <si>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</si>
  <si>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</si>
  <si>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</si>
  <si>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</si>
  <si>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</si>
  <si>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</si>
  <si>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</si>
  <si>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</si>
  <si>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</si>
  <si>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</si>
  <si>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</si>
  <si>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</si>
  <si>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</si>
  <si>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</si>
  <si>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</si>
  <si>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</si>
  <si>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</si>
  <si>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</si>
  <si>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</si>
  <si>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</si>
  <si>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</si>
  <si>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</si>
  <si>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</si>
  <si>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</si>
  <si>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</si>
  <si>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</si>
  <si>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</si>
  <si>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</si>
  <si>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</si>
  <si>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</si>
  <si>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</si>
  <si>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</si>
  <si>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</si>
  <si>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</si>
  <si>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</si>
  <si>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</si>
  <si>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</si>
  <si>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</si>
  <si>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</si>
  <si>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</si>
  <si>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</si>
  <si>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</si>
  <si>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</si>
  <si>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</si>
  <si>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</si>
  <si>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</si>
  <si>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</si>
  <si>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</si>
  <si>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</si>
  <si>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</si>
  <si>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</si>
  <si>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</si>
  <si>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</si>
  <si>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</si>
  <si>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</si>
  <si>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</si>
  <si>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</si>
  <si>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</si>
  <si>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</si>
  <si>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</si>
  <si>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</si>
  <si>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</si>
  <si>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طلب از امیر قدس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</si>
  <si>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</si>
  <si>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</si>
  <si>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</si>
  <si>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</si>
  <si>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</si>
  <si>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</si>
  <si>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</si>
  <si>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</si>
  <si>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</si>
  <si>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</si>
  <si>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</si>
  <si>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</si>
  <si>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</si>
  <si>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</si>
  <si>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</si>
  <si>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</si>
  <si>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</si>
  <si>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</si>
  <si>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</si>
  <si>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</si>
  <si>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</si>
  <si>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</si>
  <si>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معادل 50000 تا سهم وغدیر به قیمت 207.9 فروش</t>
  </si>
  <si>
    <t>تعداد 132532 عدد سهام وغدیر</t>
  </si>
  <si>
    <t>اخزا 706 تعداد 26 قیمت 66501</t>
  </si>
  <si>
    <t>بدهی نقدی به مهدی 11250229 تومان تاریخ 28/7/97</t>
  </si>
  <si>
    <t>اخزا 706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</si>
  <si>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</si>
  <si>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</si>
  <si>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</si>
  <si>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</si>
  <si>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</si>
  <si>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</si>
  <si>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</si>
  <si>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</si>
  <si>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29/7/1397</t>
  </si>
  <si>
    <t>اخزا 706 تعداد 156 قیمت 66500</t>
  </si>
  <si>
    <t>وغدیر 1113678 تا 192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</si>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</sst>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2" borderId="0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3" t="s">
        <v>4283</v>
      </c>
      <c r="B1" t="s">
        <v>4284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7" workbookViewId="0">
      <selection activeCell="E69" sqref="E69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4181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4187</v>
      </c>
      <c r="B3" s="18">
        <v>830000</v>
      </c>
      <c r="C3" s="18">
        <v>0</v>
      </c>
      <c r="D3" s="117">
        <f t="shared" ref="D3:D26" si="0">B3-C3</f>
        <v>830000</v>
      </c>
      <c r="E3" s="20" t="s">
        <v>4189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4210</v>
      </c>
      <c r="B4" s="18">
        <v>-52440</v>
      </c>
      <c r="C4" s="18">
        <v>0</v>
      </c>
      <c r="D4" s="113">
        <f t="shared" si="0"/>
        <v>-52440</v>
      </c>
      <c r="E4" s="99" t="s">
        <v>4216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4217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4219</v>
      </c>
      <c r="B6" s="18">
        <v>-200000</v>
      </c>
      <c r="C6" s="18">
        <v>0</v>
      </c>
      <c r="D6" s="113">
        <f t="shared" si="0"/>
        <v>-200000</v>
      </c>
      <c r="E6" s="19" t="s">
        <v>4220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4221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4222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4222</v>
      </c>
      <c r="B9" s="18">
        <v>-30000</v>
      </c>
      <c r="C9" s="18">
        <v>0</v>
      </c>
      <c r="D9" s="113">
        <f t="shared" si="0"/>
        <v>-30000</v>
      </c>
      <c r="E9" s="21" t="s">
        <v>4223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4226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4227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4180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4231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4236</v>
      </c>
      <c r="B14" s="18">
        <v>1548000</v>
      </c>
      <c r="C14" s="18">
        <v>0</v>
      </c>
      <c r="D14" s="113">
        <f t="shared" si="0"/>
        <v>1548000</v>
      </c>
      <c r="E14" s="20" t="s">
        <v>4279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4267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4280</v>
      </c>
      <c r="B16" s="18">
        <v>-5000</v>
      </c>
      <c r="C16" s="18">
        <v>-2500</v>
      </c>
      <c r="D16" s="113">
        <f t="shared" si="0"/>
        <v>-2500</v>
      </c>
      <c r="E16" s="20" t="s">
        <v>4281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4295</v>
      </c>
      <c r="B17" s="18">
        <v>-190000</v>
      </c>
      <c r="C17" s="18">
        <v>0</v>
      </c>
      <c r="D17" s="113">
        <f t="shared" si="0"/>
        <v>-190000</v>
      </c>
      <c r="E17" s="20" t="s">
        <v>4296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4163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4163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4171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4184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4190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4230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4232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4278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4289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4294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4299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4300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4303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4304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4307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4308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4310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4314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4315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4316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4326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4344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/>
      <c r="E70" s="41" t="s">
        <v>25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f>SUM(D33:D70)</f>
        <v>-50631326</v>
      </c>
      <c r="E71" s="96" t="s">
        <v>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/>
      <c r="E72" s="41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E74" t="s">
        <v>25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E75" t="s">
        <v>25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21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4163</v>
      </c>
      <c r="B201" s="18">
        <v>48650000</v>
      </c>
      <c r="C201" s="18">
        <v>0</v>
      </c>
      <c r="D201" s="18">
        <f t="shared" si="18"/>
        <v>48650000</v>
      </c>
      <c r="E201" s="99" t="s">
        <v>4164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4163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4163</v>
      </c>
      <c r="B203" s="18">
        <v>-5000</v>
      </c>
      <c r="C203" s="18">
        <v>0</v>
      </c>
      <c r="D203" s="18">
        <f t="shared" si="18"/>
        <v>-5000</v>
      </c>
      <c r="E203" s="99" t="s">
        <v>4165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4163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4171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4184</v>
      </c>
      <c r="B206" s="18">
        <v>-18500</v>
      </c>
      <c r="C206" s="18">
        <v>0</v>
      </c>
      <c r="D206" s="18">
        <f t="shared" si="18"/>
        <v>-18500</v>
      </c>
      <c r="E206" s="99" t="s">
        <v>4185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4181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4187</v>
      </c>
      <c r="B208" s="18">
        <v>830000</v>
      </c>
      <c r="C208" s="18">
        <v>0</v>
      </c>
      <c r="D208" s="18">
        <f t="shared" si="18"/>
        <v>830000</v>
      </c>
      <c r="E208" s="99" t="s">
        <v>4188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4210</v>
      </c>
      <c r="B209" s="18">
        <v>-52440</v>
      </c>
      <c r="C209" s="18">
        <v>0</v>
      </c>
      <c r="D209" s="18">
        <f t="shared" si="18"/>
        <v>-52440</v>
      </c>
      <c r="E209" s="99" t="s">
        <v>4216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4217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4219</v>
      </c>
      <c r="B211" s="18">
        <v>-200000</v>
      </c>
      <c r="C211" s="18">
        <v>0</v>
      </c>
      <c r="D211" s="18">
        <f t="shared" si="18"/>
        <v>-200000</v>
      </c>
      <c r="E211" s="99" t="s">
        <v>4220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4221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4222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4222</v>
      </c>
      <c r="B214" s="18">
        <v>-30000</v>
      </c>
      <c r="C214" s="18">
        <v>0</v>
      </c>
      <c r="D214" s="18">
        <f t="shared" si="18"/>
        <v>-30000</v>
      </c>
      <c r="E214" s="99" t="s">
        <v>4223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4222</v>
      </c>
      <c r="B215" s="18">
        <v>-178000</v>
      </c>
      <c r="C215" s="18">
        <v>0</v>
      </c>
      <c r="D215" s="18">
        <f t="shared" si="18"/>
        <v>-178000</v>
      </c>
      <c r="E215" s="99" t="s">
        <v>4225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4227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4180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4231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4236</v>
      </c>
      <c r="B219" s="18">
        <v>1548000</v>
      </c>
      <c r="C219" s="18">
        <v>0</v>
      </c>
      <c r="D219" s="18">
        <f t="shared" si="18"/>
        <v>1548000</v>
      </c>
      <c r="E219" s="99" t="s">
        <v>4266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4267</v>
      </c>
      <c r="B220" s="18">
        <v>-1400700</v>
      </c>
      <c r="C220" s="18">
        <v>0</v>
      </c>
      <c r="D220" s="18">
        <f t="shared" si="18"/>
        <v>-1400700</v>
      </c>
      <c r="E220" s="99" t="s">
        <v>4268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4267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4267</v>
      </c>
      <c r="B222" s="18">
        <v>-5000</v>
      </c>
      <c r="C222" s="18">
        <v>-2500</v>
      </c>
      <c r="D222" s="18">
        <f t="shared" si="18"/>
        <v>-2500</v>
      </c>
      <c r="E222" s="99" t="s">
        <v>4282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4295</v>
      </c>
      <c r="B223" s="18">
        <v>-190000</v>
      </c>
      <c r="C223" s="18">
        <v>0</v>
      </c>
      <c r="D223" s="18">
        <f t="shared" si="18"/>
        <v>-190000</v>
      </c>
      <c r="E223" s="99" t="s">
        <v>4296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4280</v>
      </c>
      <c r="B72" s="113">
        <v>-5000</v>
      </c>
      <c r="C72" s="99" t="s">
        <v>4281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4267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4281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4208</v>
      </c>
      <c r="M20" t="s">
        <v>4035</v>
      </c>
      <c r="N20" t="s">
        <v>4209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4280</v>
      </c>
      <c r="B191" s="38">
        <v>-5000</v>
      </c>
      <c r="C191" s="73" t="s">
        <v>4281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F34" zoomScaleNormal="100" workbookViewId="0">
      <selection activeCell="M62" sqref="M6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-L77*12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4168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4169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4160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4161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2">
        <v>3000000</v>
      </c>
      <c r="AQ10" s="99" t="s">
        <v>4170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2">
        <v>2500000</v>
      </c>
      <c r="AQ11" s="99" t="s">
        <v>4162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2">
        <v>2500000</v>
      </c>
      <c r="AQ12" s="99" t="s">
        <v>4172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2">
        <v>-150000</v>
      </c>
      <c r="AQ13" s="99" t="s">
        <v>4181</v>
      </c>
      <c r="AR13" s="99" t="s">
        <v>4197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2">
        <v>-250000</v>
      </c>
      <c r="AQ14" s="99" t="s">
        <v>4187</v>
      </c>
      <c r="AR14" s="99" t="s">
        <v>4203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2">
        <v>-696454</v>
      </c>
      <c r="AQ15" s="99" t="s">
        <v>4187</v>
      </c>
      <c r="AR15" s="99" t="s">
        <v>4198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2">
        <v>-2000000</v>
      </c>
      <c r="AQ16" s="99" t="s">
        <v>4210</v>
      </c>
      <c r="AR16" s="99" t="s">
        <v>4211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9">
        <v>11</v>
      </c>
      <c r="AP17" s="172">
        <v>-3600000</v>
      </c>
      <c r="AQ17" s="99" t="s">
        <v>4210</v>
      </c>
      <c r="AR17" s="99" t="s">
        <v>4212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2">
        <v>-400000</v>
      </c>
      <c r="AQ18" s="99" t="s">
        <v>4217</v>
      </c>
      <c r="AR18" s="99" t="s">
        <v>4218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-مهر97!D71</f>
        <v>50631326</v>
      </c>
      <c r="M19" s="171" t="s">
        <v>4207</v>
      </c>
      <c r="N19" s="113">
        <f>O19*P19</f>
        <v>10321217.200000001</v>
      </c>
      <c r="O19" s="99">
        <v>48028</v>
      </c>
      <c r="P19" s="99">
        <f>P33</f>
        <v>214.9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9">
        <v>13</v>
      </c>
      <c r="AP19" s="172">
        <v>-1000000</v>
      </c>
      <c r="AQ19" s="99" t="s">
        <v>4269</v>
      </c>
      <c r="AR19" s="99" t="s">
        <v>4270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 t="s">
        <v>4298</v>
      </c>
      <c r="N20" s="113">
        <f>O20*P20</f>
        <v>69756.599999999991</v>
      </c>
      <c r="O20" s="99">
        <v>174</v>
      </c>
      <c r="P20" s="99">
        <f>P35</f>
        <v>400.9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198</v>
      </c>
      <c r="AK20" s="113">
        <f>AH20*AJ20</f>
        <v>3564000000</v>
      </c>
      <c r="AL20" s="99"/>
      <c r="AN20" s="96"/>
      <c r="AO20" s="99">
        <v>14</v>
      </c>
      <c r="AP20" s="172">
        <v>-10335229</v>
      </c>
      <c r="AQ20" s="99" t="s">
        <v>4327</v>
      </c>
      <c r="AR20" s="99" t="s">
        <v>4328</v>
      </c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L46</f>
        <v>279754528</v>
      </c>
      <c r="G21" s="29">
        <f t="shared" si="0"/>
        <v>-17754528</v>
      </c>
      <c r="H21" s="11" t="s">
        <v>4233</v>
      </c>
      <c r="J21" s="25"/>
      <c r="K21" s="171" t="s">
        <v>456</v>
      </c>
      <c r="L21" s="117">
        <v>235000</v>
      </c>
      <c r="M21" s="171" t="s">
        <v>4313</v>
      </c>
      <c r="N21" s="113">
        <f>O21*P21</f>
        <v>57861.5</v>
      </c>
      <c r="O21" s="99">
        <v>155</v>
      </c>
      <c r="P21" s="99">
        <f>P36</f>
        <v>373.3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197</v>
      </c>
      <c r="AK21" s="113">
        <f t="shared" ref="AK21:AK82" si="5">AH21*AJ21</f>
        <v>492500000</v>
      </c>
      <c r="AL21" s="99"/>
      <c r="AN21" s="96"/>
      <c r="AO21" s="99"/>
      <c r="AP21" s="172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757</v>
      </c>
      <c r="N22" s="113">
        <v>3000000</v>
      </c>
      <c r="O22" s="22"/>
      <c r="Q22" s="96"/>
      <c r="R22" s="172">
        <v>4200000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196</v>
      </c>
      <c r="AK22" s="113">
        <f t="shared" si="5"/>
        <v>1568000000</v>
      </c>
      <c r="AL22" s="99"/>
      <c r="AN22" s="96"/>
      <c r="AO22" s="99"/>
      <c r="AP22" s="172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 t="s">
        <v>919</v>
      </c>
      <c r="L23" s="117">
        <v>4800000</v>
      </c>
      <c r="M23" s="171" t="s">
        <v>4159</v>
      </c>
      <c r="N23" s="113">
        <f>-1*L19</f>
        <v>-50631326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195</v>
      </c>
      <c r="AK23" s="113">
        <f t="shared" si="5"/>
        <v>-15512640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 t="s">
        <v>930</v>
      </c>
      <c r="L24" s="117">
        <v>0</v>
      </c>
      <c r="M24" s="171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194</v>
      </c>
      <c r="AK24" s="113">
        <f t="shared" si="5"/>
        <v>32107000</v>
      </c>
      <c r="AL24" s="99"/>
      <c r="AN24" s="96"/>
      <c r="AO24" s="99"/>
      <c r="AP24" s="95">
        <f>SUM(AP7:AP23)</f>
        <v>24528317</v>
      </c>
      <c r="AQ24" s="99"/>
      <c r="AR24" s="183" t="s">
        <v>4329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 t="s">
        <v>1088</v>
      </c>
      <c r="L25" s="117">
        <f>65*R22</f>
        <v>273000000</v>
      </c>
      <c r="M25" s="171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182</v>
      </c>
      <c r="AK25" s="113">
        <f t="shared" si="5"/>
        <v>-5247119514</v>
      </c>
      <c r="AL25" s="99"/>
      <c r="AN25" s="96"/>
      <c r="AO25" s="99"/>
      <c r="AP25" s="99" t="s">
        <v>6</v>
      </c>
      <c r="AQ25" s="99"/>
      <c r="AR25" s="186" t="s">
        <v>4331</v>
      </c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4157</v>
      </c>
      <c r="L26" s="117">
        <v>-50000000</v>
      </c>
      <c r="M26" s="73"/>
      <c r="N26" s="113"/>
      <c r="O26" s="22"/>
      <c r="S26" s="26" t="s">
        <v>25</v>
      </c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176</v>
      </c>
      <c r="AK26" s="113">
        <f t="shared" si="5"/>
        <v>3256000000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/>
      <c r="L27" s="117"/>
      <c r="M27" s="171" t="s">
        <v>1088</v>
      </c>
      <c r="N27" s="113">
        <f>75*R22</f>
        <v>315000000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175</v>
      </c>
      <c r="AK27" s="113">
        <f t="shared" si="5"/>
        <v>-3246250000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4305</v>
      </c>
      <c r="L28" s="117">
        <v>65000</v>
      </c>
      <c r="M28" s="171" t="s">
        <v>4214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174</v>
      </c>
      <c r="AK28" s="113">
        <f t="shared" si="5"/>
        <v>-11303214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/>
      <c r="L29" s="117"/>
      <c r="M29" s="171" t="s">
        <v>4215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169</v>
      </c>
      <c r="AK29" s="113">
        <f t="shared" si="5"/>
        <v>1081600000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1" t="s">
        <v>3893</v>
      </c>
      <c r="N30" s="113">
        <v>21505117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22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168</v>
      </c>
      <c r="AK30" s="113">
        <f t="shared" si="5"/>
        <v>-28560000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1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163</v>
      </c>
      <c r="AK31" s="113">
        <f t="shared" si="5"/>
        <v>-1026900000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2">
        <v>214242583</v>
      </c>
      <c r="R32" s="171" t="s">
        <v>4187</v>
      </c>
      <c r="S32" s="171">
        <v>28</v>
      </c>
      <c r="T32" s="171" t="s">
        <v>4343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162</v>
      </c>
      <c r="AK32" s="113">
        <f t="shared" si="5"/>
        <v>-8426430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1" t="s">
        <v>4194</v>
      </c>
      <c r="N33" s="113">
        <f>O33*P33</f>
        <v>239329402.20000002</v>
      </c>
      <c r="O33" s="99">
        <v>1113678</v>
      </c>
      <c r="P33" s="99">
        <v>214.9</v>
      </c>
      <c r="Q33" s="172">
        <v>3759803</v>
      </c>
      <c r="R33" s="171" t="s">
        <v>4291</v>
      </c>
      <c r="S33" s="171">
        <f>S32-21</f>
        <v>7</v>
      </c>
      <c r="T33" s="171" t="s">
        <v>4302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146</v>
      </c>
      <c r="AK33" s="113">
        <f t="shared" si="5"/>
        <v>2922540400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4290</v>
      </c>
      <c r="N34" s="113">
        <f>O34*P34</f>
        <v>4226223.4000000004</v>
      </c>
      <c r="O34" s="99">
        <v>19666</v>
      </c>
      <c r="P34" s="99">
        <f>P33</f>
        <v>214.9</v>
      </c>
      <c r="Q34" s="172">
        <v>57680</v>
      </c>
      <c r="R34" s="171" t="s">
        <v>4295</v>
      </c>
      <c r="S34" s="171">
        <f>S33-2</f>
        <v>5</v>
      </c>
      <c r="T34" s="171" t="s">
        <v>4301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146</v>
      </c>
      <c r="AK34" s="113">
        <f t="shared" si="5"/>
        <v>148112036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 t="s">
        <v>4298</v>
      </c>
      <c r="N35" s="113">
        <f>O35*P35</f>
        <v>69756.599999999991</v>
      </c>
      <c r="O35" s="99">
        <v>174</v>
      </c>
      <c r="P35" s="99">
        <v>400.9</v>
      </c>
      <c r="Q35" s="172">
        <v>54501</v>
      </c>
      <c r="R35" s="171" t="s">
        <v>4312</v>
      </c>
      <c r="S35" s="171">
        <f>S34-2</f>
        <v>3</v>
      </c>
      <c r="T35" s="171" t="s">
        <v>4311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134</v>
      </c>
      <c r="AK35" s="113">
        <f t="shared" si="5"/>
        <v>48240000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 t="s">
        <v>4313</v>
      </c>
      <c r="N36" s="113">
        <f>O36*P36</f>
        <v>57861.5</v>
      </c>
      <c r="O36" s="188">
        <v>155</v>
      </c>
      <c r="P36" s="99">
        <v>373.3</v>
      </c>
      <c r="Q36" s="172">
        <v>1730284</v>
      </c>
      <c r="R36" s="171" t="s">
        <v>4327</v>
      </c>
      <c r="S36" s="171">
        <f>S35-3</f>
        <v>0</v>
      </c>
      <c r="T36" s="171" t="s">
        <v>4330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132</v>
      </c>
      <c r="AK36" s="113">
        <f t="shared" si="5"/>
        <v>-46200000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 t="s">
        <v>4332</v>
      </c>
      <c r="N37" s="113">
        <f>O37*P37</f>
        <v>12084800</v>
      </c>
      <c r="O37" s="69">
        <v>182</v>
      </c>
      <c r="P37" s="69">
        <v>66400</v>
      </c>
      <c r="Q37" s="172">
        <v>10381521</v>
      </c>
      <c r="R37" s="171" t="s">
        <v>4341</v>
      </c>
      <c r="S37" s="171">
        <f>S36-1</f>
        <v>-1</v>
      </c>
      <c r="T37" s="171" t="s">
        <v>4342</v>
      </c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132</v>
      </c>
      <c r="AK37" s="113">
        <f t="shared" si="5"/>
        <v>132000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56"/>
      <c r="L38" s="117"/>
      <c r="M38" s="99"/>
      <c r="N38" s="99"/>
      <c r="O38" s="122"/>
      <c r="P38" s="122"/>
      <c r="Q38" s="172"/>
      <c r="R38" s="171"/>
      <c r="S38" s="171"/>
      <c r="T38" s="171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131</v>
      </c>
      <c r="AK38" s="113">
        <f t="shared" si="5"/>
        <v>4402910000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 t="s">
        <v>4276</v>
      </c>
      <c r="N39" s="117">
        <v>-11250229</v>
      </c>
      <c r="Q39" s="113">
        <f>SUM(N31:N37)-SUM(Q32:Q38)</f>
        <v>25541671.700000018</v>
      </c>
      <c r="R39" s="112"/>
      <c r="S39" s="112"/>
      <c r="T39" s="112"/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127</v>
      </c>
      <c r="AK39" s="113">
        <f t="shared" si="5"/>
        <v>-1981200000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73"/>
      <c r="N40" s="117"/>
      <c r="O40" s="96" t="s">
        <v>25</v>
      </c>
      <c r="R40" t="s">
        <v>25</v>
      </c>
      <c r="T40" t="s">
        <v>25</v>
      </c>
      <c r="U40" s="96"/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124</v>
      </c>
      <c r="AK40" s="113">
        <f t="shared" si="5"/>
        <v>930000000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1" t="s">
        <v>1156</v>
      </c>
      <c r="N41" s="117">
        <v>14908</v>
      </c>
      <c r="O41" s="96" t="s">
        <v>25</v>
      </c>
      <c r="P41" t="s">
        <v>25</v>
      </c>
      <c r="Q41" t="s">
        <v>25</v>
      </c>
      <c r="R41" t="s">
        <v>25</v>
      </c>
      <c r="T41" t="s">
        <v>25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120</v>
      </c>
      <c r="AK41" s="113">
        <f t="shared" si="5"/>
        <v>-11760000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99"/>
      <c r="L42" s="99"/>
      <c r="M42" s="171" t="s">
        <v>1157</v>
      </c>
      <c r="N42" s="117">
        <v>5282</v>
      </c>
      <c r="O42" s="96"/>
      <c r="Q42" t="s">
        <v>25</v>
      </c>
      <c r="S42" t="s">
        <v>25</v>
      </c>
      <c r="T42" t="s">
        <v>951</v>
      </c>
      <c r="U42">
        <v>6.3E-3</v>
      </c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119</v>
      </c>
      <c r="AK42" s="113">
        <f t="shared" si="5"/>
        <v>-3094000000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1"/>
      <c r="L43" s="117"/>
      <c r="M43" s="171" t="s">
        <v>4195</v>
      </c>
      <c r="N43" s="113">
        <f>-O43*P33</f>
        <v>-28481126.800000001</v>
      </c>
      <c r="O43" s="99">
        <v>132532</v>
      </c>
      <c r="P43" s="99">
        <f>P33</f>
        <v>214.9</v>
      </c>
      <c r="Q43" s="96">
        <f>O33+O34+O19-O43-O44</f>
        <v>956442</v>
      </c>
      <c r="R43" s="113">
        <f>Q43*P33+N19</f>
        <v>215860603</v>
      </c>
      <c r="S43" t="s">
        <v>25</v>
      </c>
      <c r="T43" t="s">
        <v>61</v>
      </c>
      <c r="U43">
        <v>4.8999999999999998E-3</v>
      </c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119</v>
      </c>
      <c r="AK43" s="113">
        <f t="shared" si="5"/>
        <v>2975000000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1" t="s">
        <v>25</v>
      </c>
      <c r="L44" s="117"/>
      <c r="M44" s="171" t="s">
        <v>4196</v>
      </c>
      <c r="N44" s="113">
        <f>-O44*P44</f>
        <v>-19856330.199999999</v>
      </c>
      <c r="O44" s="99">
        <v>92398</v>
      </c>
      <c r="P44" s="99">
        <f>P43</f>
        <v>214.9</v>
      </c>
      <c r="Q44" t="s">
        <v>4309</v>
      </c>
      <c r="R44" t="s">
        <v>4306</v>
      </c>
      <c r="T44" t="s">
        <v>6</v>
      </c>
      <c r="U44">
        <f>U42+U43</f>
        <v>1.12E-2</v>
      </c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118</v>
      </c>
      <c r="AK44" s="113">
        <f t="shared" si="5"/>
        <v>12980000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1"/>
      <c r="L45" s="117"/>
      <c r="M45" s="171"/>
      <c r="N45" s="113"/>
      <c r="O45" s="96"/>
      <c r="P45" s="96"/>
      <c r="R45" t="s">
        <v>25</v>
      </c>
      <c r="T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117</v>
      </c>
      <c r="AK45" s="113">
        <f t="shared" si="5"/>
        <v>44460000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1" t="s">
        <v>598</v>
      </c>
      <c r="L46" s="113">
        <f>SUM(L16:L39)</f>
        <v>279754528</v>
      </c>
      <c r="M46" s="171"/>
      <c r="N46" s="113">
        <f>SUM(N16:N45)</f>
        <v>419375224</v>
      </c>
      <c r="O46" t="s">
        <v>25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110</v>
      </c>
      <c r="AK46" s="113">
        <f t="shared" si="5"/>
        <v>49500000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171" t="s">
        <v>599</v>
      </c>
      <c r="L47" s="113">
        <f>L16+L17+L21</f>
        <v>258202</v>
      </c>
      <c r="M47" s="171"/>
      <c r="N47" s="113">
        <f>N16+N17+N24</f>
        <v>-7383645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104</v>
      </c>
      <c r="AK47" s="113">
        <f t="shared" si="5"/>
        <v>291200000</v>
      </c>
      <c r="AL47" s="99"/>
      <c r="AO47" s="99">
        <v>1</v>
      </c>
      <c r="AP47" s="172">
        <v>5000000</v>
      </c>
      <c r="AQ47" s="99" t="s">
        <v>4161</v>
      </c>
      <c r="AR47" s="99" t="s">
        <v>4199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K48" s="56" t="s">
        <v>716</v>
      </c>
      <c r="L48" s="1">
        <f>L46+N7</f>
        <v>349754528</v>
      </c>
      <c r="M48" s="113"/>
      <c r="N48" s="171"/>
      <c r="O48" s="22"/>
      <c r="P48" t="s">
        <v>25</v>
      </c>
      <c r="T48" t="s">
        <v>25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103</v>
      </c>
      <c r="AK48" s="113">
        <f t="shared" si="5"/>
        <v>-154500000</v>
      </c>
      <c r="AL48" s="99"/>
      <c r="AO48" s="99">
        <v>2</v>
      </c>
      <c r="AP48" s="172">
        <v>13000000</v>
      </c>
      <c r="AQ48" s="99" t="s">
        <v>4172</v>
      </c>
      <c r="AR48" s="99" t="s">
        <v>4200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t="s">
        <v>4345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103</v>
      </c>
      <c r="AK49" s="113">
        <f t="shared" si="5"/>
        <v>314150000</v>
      </c>
      <c r="AL49" s="99"/>
      <c r="AO49" s="99">
        <v>3</v>
      </c>
      <c r="AP49" s="172">
        <v>-168093</v>
      </c>
      <c r="AQ49" s="99" t="s">
        <v>4187</v>
      </c>
      <c r="AR49" s="99" t="s">
        <v>4201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4118</v>
      </c>
      <c r="O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100</v>
      </c>
      <c r="AK50" s="113">
        <f t="shared" si="5"/>
        <v>-829961200</v>
      </c>
      <c r="AL50" s="99"/>
      <c r="AO50" s="99"/>
      <c r="AP50" s="172"/>
      <c r="AQ50" s="99"/>
      <c r="AR50" s="99"/>
    </row>
    <row r="51" spans="1:51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25" t="s">
        <v>4086</v>
      </c>
      <c r="P51" t="s">
        <v>25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98</v>
      </c>
      <c r="AK51" s="113">
        <f t="shared" si="5"/>
        <v>490000000</v>
      </c>
      <c r="AL51" s="99"/>
      <c r="AO51" s="99"/>
      <c r="AP51" s="172"/>
      <c r="AQ51" s="99"/>
      <c r="AR51" s="99"/>
    </row>
    <row r="52" spans="1:51" ht="30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M52" s="180" t="s">
        <v>4122</v>
      </c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84</v>
      </c>
      <c r="AK52" s="113">
        <f t="shared" si="5"/>
        <v>-7560000</v>
      </c>
      <c r="AL52" s="99"/>
      <c r="AO52" s="99"/>
      <c r="AP52" s="172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3"/>
      <c r="L53" s="11" t="s">
        <v>304</v>
      </c>
      <c r="M53" s="122"/>
      <c r="N53" s="96"/>
      <c r="P53" s="115"/>
      <c r="Q53" s="115"/>
      <c r="R53" s="115"/>
      <c r="S53" s="115"/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83</v>
      </c>
      <c r="AK53" s="113">
        <f t="shared" si="5"/>
        <v>464800000</v>
      </c>
      <c r="AL53" s="99"/>
      <c r="AO53" s="99"/>
      <c r="AP53" s="172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305</v>
      </c>
      <c r="L54" s="1">
        <v>70000</v>
      </c>
      <c r="M54" s="122" t="s">
        <v>4346</v>
      </c>
      <c r="N54" s="96" t="s">
        <v>25</v>
      </c>
      <c r="P54" s="115"/>
      <c r="Q54" s="189"/>
      <c r="R54" s="189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79</v>
      </c>
      <c r="AK54" s="113">
        <f t="shared" si="5"/>
        <v>59250000</v>
      </c>
      <c r="AL54" s="99"/>
      <c r="AO54" s="99"/>
      <c r="AP54" s="172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321</v>
      </c>
      <c r="L55" s="1">
        <v>100000</v>
      </c>
      <c r="M55" s="122" t="s">
        <v>4347</v>
      </c>
      <c r="P55" s="115"/>
      <c r="Q55" s="189"/>
      <c r="R55" s="189"/>
      <c r="S55" s="115"/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77</v>
      </c>
      <c r="AK55" s="173">
        <f t="shared" si="5"/>
        <v>-326634000</v>
      </c>
      <c r="AL55" s="174" t="s">
        <v>4068</v>
      </c>
      <c r="AO55" s="99"/>
      <c r="AP55" s="172">
        <f>SUM(AP47:AP53)</f>
        <v>17831907</v>
      </c>
      <c r="AQ55" s="99"/>
      <c r="AR55" s="182" t="s">
        <v>4205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1" t="s">
        <v>306</v>
      </c>
      <c r="L56" s="1">
        <v>80000</v>
      </c>
      <c r="M56" s="122" t="s">
        <v>4348</v>
      </c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75</v>
      </c>
      <c r="AK56" s="113">
        <f t="shared" si="5"/>
        <v>307500000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307</v>
      </c>
      <c r="L57" s="1">
        <v>150000</v>
      </c>
      <c r="M57" s="122" t="s">
        <v>4349</v>
      </c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75</v>
      </c>
      <c r="AK57" s="113">
        <f t="shared" si="5"/>
        <v>307500000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308</v>
      </c>
      <c r="L58" s="1">
        <v>300000</v>
      </c>
      <c r="M58" s="198" t="s">
        <v>4350</v>
      </c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74</v>
      </c>
      <c r="AK58" s="113">
        <f t="shared" si="5"/>
        <v>58460000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309</v>
      </c>
      <c r="L59" s="1">
        <v>100000</v>
      </c>
      <c r="M59" s="96"/>
      <c r="P59" s="115"/>
      <c r="Q59" s="115"/>
      <c r="R59" s="115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59</v>
      </c>
      <c r="AK59" s="175">
        <f t="shared" si="5"/>
        <v>-228035000</v>
      </c>
      <c r="AL59" s="174" t="s">
        <v>4069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31" t="s">
        <v>310</v>
      </c>
      <c r="L60" s="1">
        <v>200000</v>
      </c>
      <c r="M60" s="96"/>
      <c r="P60" s="115"/>
      <c r="Q60" s="115"/>
      <c r="R60" s="115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53</v>
      </c>
      <c r="AK60" s="113">
        <f t="shared" si="5"/>
        <v>996400000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18" t="s">
        <v>311</v>
      </c>
      <c r="L61" s="18">
        <v>300000</v>
      </c>
      <c r="M61" s="96"/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50</v>
      </c>
      <c r="AK61" s="113">
        <f t="shared" si="5"/>
        <v>25000000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312</v>
      </c>
      <c r="L62" s="1">
        <v>200000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49</v>
      </c>
      <c r="AK62" s="113">
        <f t="shared" si="5"/>
        <v>9800000</v>
      </c>
      <c r="AL62" s="20"/>
      <c r="AT62" s="99" t="s">
        <v>1136</v>
      </c>
      <c r="AU62" s="99" t="s">
        <v>4271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313</v>
      </c>
      <c r="L63" s="1">
        <v>20000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46</v>
      </c>
      <c r="AK63" s="113">
        <f t="shared" si="5"/>
        <v>46000000</v>
      </c>
      <c r="AL63" s="20"/>
      <c r="AT63" s="99">
        <v>1</v>
      </c>
      <c r="AU63" s="172" t="s">
        <v>4272</v>
      </c>
      <c r="AV63" s="99">
        <v>18290</v>
      </c>
      <c r="AW63" s="99" t="s">
        <v>4187</v>
      </c>
      <c r="AX63" s="99" t="s">
        <v>4273</v>
      </c>
      <c r="AY63" s="172">
        <v>3465500</v>
      </c>
    </row>
    <row r="64" spans="1:51" x14ac:dyDescent="0.25">
      <c r="E64" s="26"/>
      <c r="K64" s="32" t="s">
        <v>315</v>
      </c>
      <c r="L64" s="1">
        <v>50000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43</v>
      </c>
      <c r="AK64" s="113">
        <f t="shared" si="5"/>
        <v>55900000</v>
      </c>
      <c r="AL64" s="20"/>
      <c r="AT64" s="99">
        <v>2</v>
      </c>
      <c r="AU64" s="172" t="s">
        <v>4272</v>
      </c>
      <c r="AV64" s="99">
        <v>24813</v>
      </c>
      <c r="AW64" s="99" t="s">
        <v>4267</v>
      </c>
      <c r="AX64" s="99" t="s">
        <v>4274</v>
      </c>
      <c r="AY64" s="172">
        <v>4995629</v>
      </c>
    </row>
    <row r="65" spans="1:51" x14ac:dyDescent="0.25">
      <c r="K65" s="32" t="s">
        <v>316</v>
      </c>
      <c r="L65" s="1">
        <v>90000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82" si="9">AJ66+AI65</f>
        <v>43</v>
      </c>
      <c r="AK65" s="113">
        <f t="shared" si="5"/>
        <v>42785000</v>
      </c>
      <c r="AL65" s="20"/>
      <c r="AT65" s="99">
        <v>3</v>
      </c>
      <c r="AU65" s="172" t="s">
        <v>4272</v>
      </c>
      <c r="AV65" s="99">
        <v>26189</v>
      </c>
      <c r="AW65" s="99" t="s">
        <v>4291</v>
      </c>
      <c r="AX65" s="99" t="s">
        <v>4292</v>
      </c>
      <c r="AY65" s="172">
        <v>5006890</v>
      </c>
    </row>
    <row r="66" spans="1:51" x14ac:dyDescent="0.25">
      <c r="K66" s="32" t="s">
        <v>317</v>
      </c>
      <c r="L66" s="1">
        <v>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9"/>
        <v>41</v>
      </c>
      <c r="AK66" s="113">
        <f t="shared" si="5"/>
        <v>533000000</v>
      </c>
      <c r="AL66" s="20"/>
      <c r="AT66" s="186"/>
      <c r="AU66" s="187" t="s">
        <v>4275</v>
      </c>
      <c r="AV66" s="186"/>
      <c r="AW66" s="186"/>
      <c r="AX66" s="186"/>
      <c r="AY66" s="187"/>
    </row>
    <row r="67" spans="1:51" x14ac:dyDescent="0.25">
      <c r="A67" t="s">
        <v>25</v>
      </c>
      <c r="F67" t="s">
        <v>310</v>
      </c>
      <c r="G67" t="s">
        <v>4105</v>
      </c>
      <c r="K67" s="32" t="s">
        <v>327</v>
      </c>
      <c r="L67" s="1">
        <v>150000</v>
      </c>
      <c r="M67" s="96"/>
      <c r="N67" s="96"/>
      <c r="O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9"/>
        <v>39</v>
      </c>
      <c r="AK67" s="113">
        <f t="shared" si="5"/>
        <v>-120900000</v>
      </c>
      <c r="AL67" s="20"/>
      <c r="AT67" s="186"/>
      <c r="AU67" s="187" t="s">
        <v>4272</v>
      </c>
      <c r="AV67" s="186">
        <v>19666</v>
      </c>
      <c r="AW67" s="186" t="s">
        <v>4291</v>
      </c>
      <c r="AX67" s="186" t="s">
        <v>4293</v>
      </c>
      <c r="AY67" s="187"/>
    </row>
    <row r="68" spans="1:51" x14ac:dyDescent="0.25">
      <c r="F68" t="s">
        <v>4109</v>
      </c>
      <c r="G68" t="s">
        <v>4104</v>
      </c>
      <c r="K68" s="32" t="s">
        <v>318</v>
      </c>
      <c r="L68" s="1">
        <v>15000</v>
      </c>
      <c r="N68" s="96"/>
      <c r="P68" s="115"/>
      <c r="Q68" s="115"/>
      <c r="R68" s="115"/>
      <c r="S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9"/>
        <v>36</v>
      </c>
      <c r="AK68" s="113">
        <f t="shared" si="5"/>
        <v>1643040000</v>
      </c>
      <c r="AL68" s="20"/>
      <c r="AT68" s="186"/>
      <c r="AU68" s="187"/>
      <c r="AV68" s="186"/>
      <c r="AW68" s="186"/>
      <c r="AX68" s="186"/>
      <c r="AY68" s="187"/>
    </row>
    <row r="69" spans="1:51" x14ac:dyDescent="0.25">
      <c r="F69" t="s">
        <v>4110</v>
      </c>
      <c r="G69" t="s">
        <v>4106</v>
      </c>
      <c r="K69" s="32" t="s">
        <v>319</v>
      </c>
      <c r="L69" s="1">
        <v>20000</v>
      </c>
      <c r="N69" s="96"/>
      <c r="P69" s="115"/>
      <c r="Q69" s="115"/>
      <c r="R69" s="115"/>
      <c r="S69" s="115"/>
      <c r="T69" s="115"/>
      <c r="W69" s="115"/>
      <c r="AF69" s="20">
        <v>49</v>
      </c>
      <c r="AG69" s="117" t="s">
        <v>4163</v>
      </c>
      <c r="AH69" s="117">
        <v>33500000</v>
      </c>
      <c r="AI69" s="20">
        <v>1</v>
      </c>
      <c r="AJ69" s="99">
        <f t="shared" si="9"/>
        <v>35</v>
      </c>
      <c r="AK69" s="113">
        <f t="shared" si="5"/>
        <v>1172500000</v>
      </c>
      <c r="AL69" s="20"/>
      <c r="AT69" s="99"/>
      <c r="AU69" s="172"/>
      <c r="AV69" s="99"/>
      <c r="AW69" s="99"/>
      <c r="AX69" s="99"/>
      <c r="AY69" s="172"/>
    </row>
    <row r="70" spans="1:51" ht="18.75" x14ac:dyDescent="0.3">
      <c r="G70" t="s">
        <v>4107</v>
      </c>
      <c r="K70" s="32" t="s">
        <v>320</v>
      </c>
      <c r="L70" s="1">
        <v>40000</v>
      </c>
      <c r="N70" s="96"/>
      <c r="P70" s="115"/>
      <c r="Q70" s="55"/>
      <c r="R70" s="190"/>
      <c r="S70" s="115"/>
      <c r="T70" s="115"/>
      <c r="W70" s="165"/>
      <c r="AF70" s="20">
        <v>50</v>
      </c>
      <c r="AG70" s="117" t="s">
        <v>4171</v>
      </c>
      <c r="AH70" s="117">
        <v>12000000</v>
      </c>
      <c r="AI70" s="20">
        <v>1</v>
      </c>
      <c r="AJ70" s="99">
        <f t="shared" si="9"/>
        <v>34</v>
      </c>
      <c r="AK70" s="117">
        <f t="shared" si="5"/>
        <v>408000000</v>
      </c>
      <c r="AL70" s="20"/>
      <c r="AT70" s="99"/>
      <c r="AU70" s="172"/>
      <c r="AV70" s="99"/>
      <c r="AW70" s="182"/>
      <c r="AX70" s="99"/>
      <c r="AY70" s="172"/>
    </row>
    <row r="71" spans="1:51" x14ac:dyDescent="0.25">
      <c r="G71" t="s">
        <v>4108</v>
      </c>
      <c r="K71" s="32" t="s">
        <v>322</v>
      </c>
      <c r="L71" s="1">
        <v>150000</v>
      </c>
      <c r="N71" s="96"/>
      <c r="P71" s="115"/>
      <c r="Q71" s="55"/>
      <c r="R71" s="190"/>
      <c r="S71" s="115"/>
      <c r="T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4177</v>
      </c>
      <c r="AH71" s="117">
        <v>15500000</v>
      </c>
      <c r="AI71" s="20">
        <v>4</v>
      </c>
      <c r="AJ71" s="99">
        <f t="shared" si="9"/>
        <v>33</v>
      </c>
      <c r="AK71" s="117">
        <f t="shared" si="5"/>
        <v>511500000</v>
      </c>
      <c r="AL71" s="20"/>
      <c r="AT71" s="99"/>
      <c r="AU71" s="99"/>
      <c r="AV71" s="99"/>
      <c r="AW71" s="99"/>
      <c r="AX71" s="99"/>
      <c r="AY71" s="172"/>
    </row>
    <row r="72" spans="1:51" x14ac:dyDescent="0.25">
      <c r="G72" t="s">
        <v>4112</v>
      </c>
      <c r="K72" s="32" t="s">
        <v>324</v>
      </c>
      <c r="L72" s="1">
        <v>75000</v>
      </c>
      <c r="P72" s="115"/>
      <c r="Q72" s="26"/>
      <c r="R72" s="190"/>
      <c r="S72" s="115"/>
      <c r="T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4181</v>
      </c>
      <c r="AH72" s="117">
        <v>150000</v>
      </c>
      <c r="AI72" s="20">
        <v>1</v>
      </c>
      <c r="AJ72" s="99">
        <f t="shared" si="9"/>
        <v>29</v>
      </c>
      <c r="AK72" s="117">
        <f t="shared" si="5"/>
        <v>4350000</v>
      </c>
      <c r="AL72" s="20"/>
    </row>
    <row r="73" spans="1:51" x14ac:dyDescent="0.25">
      <c r="G73" t="s">
        <v>4111</v>
      </c>
      <c r="K73" s="32" t="s">
        <v>314</v>
      </c>
      <c r="L73" s="1">
        <v>140000</v>
      </c>
      <c r="P73" s="115"/>
      <c r="Q73" s="55"/>
      <c r="R73" s="190"/>
      <c r="S73" s="122"/>
      <c r="W73" s="115"/>
      <c r="X73" s="128"/>
      <c r="Y73" s="115"/>
      <c r="Z73" s="115"/>
      <c r="AA73" s="115"/>
      <c r="AB73" s="128"/>
      <c r="AC73" s="115"/>
      <c r="AD73" s="115"/>
      <c r="AF73" s="184">
        <v>53</v>
      </c>
      <c r="AG73" s="185" t="s">
        <v>4187</v>
      </c>
      <c r="AH73" s="185">
        <v>29000000</v>
      </c>
      <c r="AI73" s="184">
        <v>15</v>
      </c>
      <c r="AJ73" s="184">
        <f t="shared" si="9"/>
        <v>28</v>
      </c>
      <c r="AK73" s="185">
        <f t="shared" si="5"/>
        <v>812000000</v>
      </c>
      <c r="AL73" s="184" t="s">
        <v>4206</v>
      </c>
    </row>
    <row r="74" spans="1:51" x14ac:dyDescent="0.25">
      <c r="K74" s="2" t="s">
        <v>478</v>
      </c>
      <c r="L74" s="3">
        <v>1083333</v>
      </c>
      <c r="P74" s="115"/>
      <c r="Q74" s="55"/>
      <c r="R74" s="190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4236</v>
      </c>
      <c r="AH74" s="117">
        <v>-130000</v>
      </c>
      <c r="AI74" s="20">
        <v>7</v>
      </c>
      <c r="AJ74" s="99">
        <f t="shared" si="9"/>
        <v>13</v>
      </c>
      <c r="AK74" s="117">
        <f t="shared" si="5"/>
        <v>-1690000</v>
      </c>
      <c r="AL74" s="20" t="s">
        <v>4238</v>
      </c>
    </row>
    <row r="75" spans="1:51" x14ac:dyDescent="0.25">
      <c r="K75" s="2"/>
      <c r="L75" s="3"/>
      <c r="P75" s="128"/>
      <c r="Q75" s="122"/>
      <c r="R75" s="115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4295</v>
      </c>
      <c r="AH75" s="117">
        <v>232000</v>
      </c>
      <c r="AI75" s="20">
        <v>2</v>
      </c>
      <c r="AJ75" s="99">
        <f t="shared" si="9"/>
        <v>6</v>
      </c>
      <c r="AK75" s="117">
        <f>AH75*AJ75</f>
        <v>1392000</v>
      </c>
      <c r="AL75" s="20" t="s">
        <v>4297</v>
      </c>
    </row>
    <row r="76" spans="1:51" x14ac:dyDescent="0.25">
      <c r="K76" s="2"/>
      <c r="L76" s="3"/>
      <c r="P76" s="128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4312</v>
      </c>
      <c r="AH76" s="117">
        <v>-170000</v>
      </c>
      <c r="AI76" s="20">
        <v>3</v>
      </c>
      <c r="AJ76" s="99">
        <f t="shared" si="9"/>
        <v>4</v>
      </c>
      <c r="AK76" s="117">
        <f t="shared" si="5"/>
        <v>-680000</v>
      </c>
      <c r="AL76" s="20"/>
    </row>
    <row r="77" spans="1:51" x14ac:dyDescent="0.25">
      <c r="K77" s="2" t="s">
        <v>6</v>
      </c>
      <c r="L77" s="3">
        <f>SUM(L54:L75)</f>
        <v>3383333</v>
      </c>
      <c r="P77" s="115"/>
      <c r="W77" s="115"/>
      <c r="X77" s="128"/>
      <c r="Y77" s="115"/>
      <c r="Z77" s="115"/>
      <c r="AA77" s="115"/>
      <c r="AB77" s="128"/>
      <c r="AC77" s="115"/>
      <c r="AD77" s="115"/>
      <c r="AF77" s="20">
        <v>57</v>
      </c>
      <c r="AG77" s="117" t="s">
        <v>4327</v>
      </c>
      <c r="AH77" s="117">
        <v>-300000</v>
      </c>
      <c r="AI77" s="20">
        <v>1</v>
      </c>
      <c r="AJ77" s="99">
        <f t="shared" si="9"/>
        <v>1</v>
      </c>
      <c r="AK77" s="117">
        <f t="shared" si="5"/>
        <v>-300000</v>
      </c>
      <c r="AL77" s="20"/>
    </row>
    <row r="78" spans="1:51" x14ac:dyDescent="0.25">
      <c r="K78" s="2" t="s">
        <v>328</v>
      </c>
      <c r="L78" s="3">
        <f>L77/30</f>
        <v>112777.76666666666</v>
      </c>
      <c r="Q78" s="22"/>
      <c r="W78" s="115"/>
      <c r="X78" s="115"/>
      <c r="Y78" s="115"/>
      <c r="Z78" s="115"/>
      <c r="AA78" s="115"/>
      <c r="AB78" s="115"/>
      <c r="AC78" s="115"/>
      <c r="AD78" s="115"/>
      <c r="AF78" s="20"/>
      <c r="AG78" s="117"/>
      <c r="AH78" s="117"/>
      <c r="AI78" s="20"/>
      <c r="AJ78" s="99">
        <f t="shared" si="9"/>
        <v>0</v>
      </c>
      <c r="AK78" s="117">
        <f t="shared" si="5"/>
        <v>0</v>
      </c>
      <c r="AL78" s="20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20"/>
      <c r="AG79" s="117"/>
      <c r="AH79" s="117"/>
      <c r="AI79" s="20"/>
      <c r="AJ79" s="99">
        <f t="shared" si="9"/>
        <v>0</v>
      </c>
      <c r="AK79" s="117">
        <f t="shared" si="5"/>
        <v>0</v>
      </c>
      <c r="AL79" s="20"/>
    </row>
    <row r="80" spans="1:51" x14ac:dyDescent="0.25">
      <c r="O80" s="115"/>
      <c r="W80" s="115"/>
      <c r="X80" s="115"/>
      <c r="Y80" s="115"/>
      <c r="AC80" s="115"/>
      <c r="AD80" s="115"/>
      <c r="AF80" s="20"/>
      <c r="AG80" s="117"/>
      <c r="AH80" s="117"/>
      <c r="AI80" s="20"/>
      <c r="AJ80" s="99">
        <f t="shared" si="9"/>
        <v>0</v>
      </c>
      <c r="AK80" s="117">
        <f t="shared" si="5"/>
        <v>0</v>
      </c>
      <c r="AL80" s="20"/>
    </row>
    <row r="81" spans="11:50" x14ac:dyDescent="0.25">
      <c r="X81" s="115"/>
      <c r="Y81" s="115"/>
      <c r="AC81" s="115"/>
      <c r="AD81" s="115"/>
      <c r="AF81" s="99"/>
      <c r="AG81" s="113"/>
      <c r="AH81" s="113"/>
      <c r="AI81" s="99"/>
      <c r="AJ81" s="99">
        <f t="shared" si="9"/>
        <v>0</v>
      </c>
      <c r="AK81" s="117">
        <f t="shared" si="5"/>
        <v>0</v>
      </c>
      <c r="AL81" s="99"/>
    </row>
    <row r="82" spans="11:50" x14ac:dyDescent="0.25">
      <c r="X82" s="115"/>
      <c r="Y82" s="115"/>
      <c r="AC82" s="115"/>
      <c r="AD82" s="115"/>
      <c r="AF82" s="99"/>
      <c r="AG82" s="113"/>
      <c r="AH82" s="113"/>
      <c r="AI82" s="99"/>
      <c r="AJ82" s="99">
        <f t="shared" si="9"/>
        <v>0</v>
      </c>
      <c r="AK82" s="117">
        <f t="shared" si="5"/>
        <v>0</v>
      </c>
      <c r="AL82" s="99"/>
      <c r="AP82" t="s">
        <v>25</v>
      </c>
      <c r="AU82" t="s">
        <v>25</v>
      </c>
    </row>
    <row r="83" spans="11:50" x14ac:dyDescent="0.25">
      <c r="AF83" s="99"/>
      <c r="AG83" s="99"/>
      <c r="AH83" s="95">
        <f>SUM(AH20:AH81)</f>
        <v>222223899</v>
      </c>
      <c r="AI83" s="99"/>
      <c r="AJ83" s="99"/>
      <c r="AK83" s="95">
        <f>SUM(AK20:AK82)</f>
        <v>13695116438</v>
      </c>
      <c r="AL83" s="95">
        <f>AK83*AL86/31</f>
        <v>8835558.9922580644</v>
      </c>
    </row>
    <row r="84" spans="11:50" x14ac:dyDescent="0.25">
      <c r="K84" s="48" t="s">
        <v>789</v>
      </c>
      <c r="L84" s="48" t="s">
        <v>476</v>
      </c>
      <c r="AF84" s="99"/>
      <c r="AG84" s="99"/>
      <c r="AH84" s="99" t="s">
        <v>4065</v>
      </c>
      <c r="AI84" s="99"/>
      <c r="AJ84" s="99"/>
      <c r="AK84" s="99" t="s">
        <v>284</v>
      </c>
      <c r="AL84" s="99" t="s">
        <v>917</v>
      </c>
      <c r="AX84" t="s">
        <v>25</v>
      </c>
    </row>
    <row r="85" spans="11:50" x14ac:dyDescent="0.25">
      <c r="K85" s="47">
        <v>700000</v>
      </c>
      <c r="L85" s="48" t="s">
        <v>1041</v>
      </c>
      <c r="AF85" s="99"/>
      <c r="AG85" s="99"/>
      <c r="AH85" s="99"/>
      <c r="AI85" s="99"/>
      <c r="AJ85" s="99"/>
      <c r="AK85" s="99"/>
      <c r="AL85" s="99"/>
      <c r="AT85" t="s">
        <v>25</v>
      </c>
    </row>
    <row r="86" spans="11:50" x14ac:dyDescent="0.25">
      <c r="K86" s="47">
        <v>500000</v>
      </c>
      <c r="L86" s="48" t="s">
        <v>479</v>
      </c>
      <c r="AF86" s="99"/>
      <c r="AG86" s="99"/>
      <c r="AH86" s="99"/>
      <c r="AI86" s="99"/>
      <c r="AJ86" s="99"/>
      <c r="AK86" s="99" t="s">
        <v>4066</v>
      </c>
      <c r="AL86" s="99">
        <v>0.02</v>
      </c>
    </row>
    <row r="87" spans="11:50" x14ac:dyDescent="0.25">
      <c r="K87" s="47">
        <v>180000</v>
      </c>
      <c r="L87" s="48" t="s">
        <v>558</v>
      </c>
      <c r="AF87" s="99"/>
      <c r="AG87" s="99"/>
      <c r="AH87" s="99"/>
      <c r="AI87" s="99"/>
      <c r="AJ87" s="99"/>
      <c r="AK87" s="99"/>
      <c r="AL87" s="99"/>
      <c r="AS87" s="96" t="s">
        <v>25</v>
      </c>
    </row>
    <row r="88" spans="11:50" x14ac:dyDescent="0.25">
      <c r="K88" s="47">
        <v>0</v>
      </c>
      <c r="L88" s="48" t="s">
        <v>785</v>
      </c>
      <c r="AF88" s="99"/>
      <c r="AG88" s="99" t="s">
        <v>4067</v>
      </c>
      <c r="AH88" s="95">
        <f>AH83+AL83</f>
        <v>231059457.99225807</v>
      </c>
      <c r="AI88" s="99"/>
      <c r="AJ88" s="99"/>
      <c r="AK88" s="99"/>
      <c r="AL88" s="99"/>
      <c r="AS88" s="96" t="s">
        <v>25</v>
      </c>
    </row>
    <row r="89" spans="11:50" x14ac:dyDescent="0.25">
      <c r="K89" s="47">
        <v>0</v>
      </c>
      <c r="L89" s="48" t="s">
        <v>786</v>
      </c>
      <c r="AG89" t="s">
        <v>4070</v>
      </c>
      <c r="AH89" s="114">
        <f>SUM(N33:N36)</f>
        <v>243683243.70000002</v>
      </c>
      <c r="AO89" t="s">
        <v>25</v>
      </c>
      <c r="AT89" t="s">
        <v>25</v>
      </c>
    </row>
    <row r="90" spans="11:50" x14ac:dyDescent="0.25">
      <c r="K90" s="47">
        <v>500000</v>
      </c>
      <c r="L90" s="48" t="s">
        <v>787</v>
      </c>
      <c r="AG90" t="s">
        <v>4144</v>
      </c>
      <c r="AH90" s="114">
        <f>AH89-AH83</f>
        <v>21459344.700000018</v>
      </c>
    </row>
    <row r="91" spans="11:50" x14ac:dyDescent="0.25">
      <c r="K91" s="47">
        <v>75000</v>
      </c>
      <c r="L91" s="48" t="s">
        <v>788</v>
      </c>
      <c r="AG91" t="s">
        <v>945</v>
      </c>
      <c r="AH91" s="114">
        <f>AL83</f>
        <v>8835558.9922580644</v>
      </c>
      <c r="AR91" s="96" t="s">
        <v>25</v>
      </c>
    </row>
    <row r="92" spans="11:50" x14ac:dyDescent="0.25">
      <c r="K92" s="47">
        <v>0</v>
      </c>
      <c r="L92" s="48" t="s">
        <v>790</v>
      </c>
      <c r="AG92" t="s">
        <v>4071</v>
      </c>
      <c r="AH92" s="114">
        <f>AH89-AH88</f>
        <v>12623785.707741946</v>
      </c>
    </row>
    <row r="93" spans="11:50" x14ac:dyDescent="0.25">
      <c r="K93" s="47">
        <v>500000</v>
      </c>
      <c r="L93" s="48" t="s">
        <v>564</v>
      </c>
    </row>
    <row r="94" spans="11:50" x14ac:dyDescent="0.25">
      <c r="K94" s="47">
        <v>50000</v>
      </c>
      <c r="L94" s="48" t="s">
        <v>793</v>
      </c>
    </row>
    <row r="95" spans="11:50" x14ac:dyDescent="0.25">
      <c r="K95" s="47">
        <v>140000</v>
      </c>
      <c r="L95" s="48" t="s">
        <v>314</v>
      </c>
    </row>
    <row r="96" spans="11:50" x14ac:dyDescent="0.25">
      <c r="K96" s="47"/>
      <c r="L96" s="48" t="s">
        <v>25</v>
      </c>
    </row>
    <row r="97" spans="8:12" x14ac:dyDescent="0.25">
      <c r="K97" s="47">
        <f>SUM(K85:K96)</f>
        <v>2645000</v>
      </c>
      <c r="L97" s="48" t="s">
        <v>6</v>
      </c>
    </row>
    <row r="98" spans="8:12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3645</v>
      </c>
      <c r="B1" s="99" t="s">
        <v>4317</v>
      </c>
      <c r="C1" s="99" t="s">
        <v>4318</v>
      </c>
      <c r="D1" s="99" t="s">
        <v>4319</v>
      </c>
      <c r="E1" s="99" t="s">
        <v>4320</v>
      </c>
      <c r="F1" s="74" t="s">
        <v>4321</v>
      </c>
      <c r="M1" s="99" t="s">
        <v>951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4338</v>
      </c>
      <c r="V10" s="96" t="s">
        <v>4340</v>
      </c>
      <c r="W10" t="s">
        <v>4334</v>
      </c>
      <c r="X10" t="s">
        <v>4336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4337</v>
      </c>
      <c r="Q13" s="99" t="s">
        <v>4338</v>
      </c>
      <c r="R13" s="99" t="s">
        <v>4339</v>
      </c>
      <c r="S13" s="99" t="s">
        <v>4333</v>
      </c>
      <c r="T13" s="99" t="s">
        <v>4335</v>
      </c>
      <c r="U13" s="69" t="s">
        <v>4334</v>
      </c>
      <c r="V13" s="69" t="s">
        <v>4336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4322</v>
      </c>
      <c r="F27" s="99" t="s">
        <v>4323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1042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1105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4163</v>
      </c>
      <c r="B23" s="18">
        <v>48650000</v>
      </c>
      <c r="C23" s="18">
        <v>0</v>
      </c>
      <c r="D23" s="113">
        <f t="shared" si="0"/>
        <v>48650000</v>
      </c>
      <c r="E23" s="19" t="s">
        <v>4164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4163</v>
      </c>
      <c r="B24" s="18">
        <v>-3005900</v>
      </c>
      <c r="C24" s="18">
        <v>0</v>
      </c>
      <c r="D24" s="113">
        <f t="shared" si="0"/>
        <v>-3005900</v>
      </c>
      <c r="E24" s="19" t="s">
        <v>4166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4171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4171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4184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4185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4181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4167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4173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4174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4175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4176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4178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4182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4183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4186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7" zoomScaleNormal="100" workbookViewId="0">
      <pane xSplit="1" topLeftCell="B1" activePane="topRight" state="frozen"/>
      <selection pane="topRight" activeCell="B32" sqref="B32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76774.850980691015</v>
      </c>
      <c r="C2" s="86">
        <f t="shared" ref="C2:C20" si="0">$S2/(1+($C$1-$O2+$P2)/36500)^$N2</f>
        <v>80090.068399743643</v>
      </c>
      <c r="D2" s="86">
        <f>$S2/(1+($D$1-$O2+$P2)/36500)^$N2</f>
        <v>80514.43807467795</v>
      </c>
      <c r="E2" s="86">
        <f>$S2/(1+($E$1-$O2+$P2)/36500)^$N2</f>
        <v>80941.062194577564</v>
      </c>
      <c r="F2" s="86">
        <f>$S2/(1+($F$1-$O2+$P2)/36500)^$N2</f>
        <v>81369.952767202703</v>
      </c>
      <c r="G2" s="86">
        <f>$S2/(1+($G$1-$O2+$P2)/36500)^$N2</f>
        <v>81801.121864415225</v>
      </c>
      <c r="H2" s="86">
        <f>$S2/(1+($H$1-$O2+$P2)/36500)^$N2</f>
        <v>82234.58162256272</v>
      </c>
      <c r="I2" s="86">
        <f>$S2/(1+($I$1-$O2+$P2)/36500)^$N2</f>
        <v>82670.344242787265</v>
      </c>
      <c r="J2" s="86">
        <f>$S2/(1+($J$1-$O2+$P2)/36500)^$N2</f>
        <v>83108.421991395167</v>
      </c>
      <c r="K2" s="86">
        <f>$S2/(1+($K$1-$O2+$P2)/36500)^$N2</f>
        <v>83548.827200211643</v>
      </c>
      <c r="L2" s="86">
        <f t="shared" ref="L2:L37" si="1">$S2/(1+($AC$5-$O2+$P2)/36500)^$N2</f>
        <v>80941.062194577564</v>
      </c>
      <c r="M2" s="148" t="s">
        <v>993</v>
      </c>
      <c r="N2" s="148">
        <f>601-$AD$19</f>
        <v>386</v>
      </c>
      <c r="O2" s="148">
        <v>0</v>
      </c>
      <c r="P2" s="148">
        <v>0</v>
      </c>
      <c r="Q2" s="148">
        <v>0</v>
      </c>
      <c r="R2" s="148">
        <f t="shared" ref="R2:R37" si="2">N2/30.5</f>
        <v>12.655737704918034</v>
      </c>
      <c r="S2" s="86">
        <v>100000</v>
      </c>
      <c r="T2" s="86">
        <v>73200</v>
      </c>
      <c r="U2" s="86">
        <f t="shared" ref="U2:U37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1" t="s">
        <v>4248</v>
      </c>
      <c r="B3" s="192">
        <f>$S3/(1+($B$1-$O3+$P3)/36500)^$N3</f>
        <v>96172.403848201851</v>
      </c>
      <c r="C3" s="192">
        <f t="shared" si="0"/>
        <v>96774.651552524592</v>
      </c>
      <c r="D3" s="192">
        <f t="shared" ref="D3:D37" si="5">$S3/(1+($D$1-$O3+$P3)/36500)^$N3</f>
        <v>96850.201863545619</v>
      </c>
      <c r="E3" s="192">
        <f t="shared" ref="E3:E37" si="6">$S3/(1+($E$1-$O3+$P3)/36500)^$N3</f>
        <v>96925.812190971512</v>
      </c>
      <c r="F3" s="192">
        <f t="shared" ref="F3:F37" si="7">$S3/(1+($F$1-$O3+$P3)/36500)^$N3</f>
        <v>97001.482583303019</v>
      </c>
      <c r="G3" s="192">
        <f t="shared" ref="G3:G37" si="8">$S3/(1+($G$1-$O3+$P3)/36500)^$N3</f>
        <v>97077.21308907721</v>
      </c>
      <c r="H3" s="192">
        <f t="shared" ref="H3:H37" si="9">$S3/(1+($H$1-$O3+$P3)/36500)^$N3</f>
        <v>97153.003756874692</v>
      </c>
      <c r="I3" s="192">
        <f t="shared" ref="I3:I37" si="10">$S3/(1+($I$1-$O3+$P3)/36500)^$N3</f>
        <v>97228.854635313066</v>
      </c>
      <c r="J3" s="192">
        <f t="shared" ref="J3:J37" si="11">$S3/(1+($J$1-$O3+$P3)/36500)^$N3</f>
        <v>97304.765773051084</v>
      </c>
      <c r="K3" s="192">
        <f t="shared" ref="K3:K37" si="12">$S3/(1+($K$1-$O3+$P3)/36500)^$N3</f>
        <v>97380.737218789785</v>
      </c>
      <c r="L3" s="192">
        <f t="shared" si="1"/>
        <v>96925.812190971512</v>
      </c>
      <c r="M3" s="191" t="s">
        <v>4257</v>
      </c>
      <c r="N3" s="191">
        <f>272-$AD$19</f>
        <v>57</v>
      </c>
      <c r="O3" s="191">
        <v>0</v>
      </c>
      <c r="P3" s="191">
        <v>0</v>
      </c>
      <c r="Q3" s="191">
        <v>0</v>
      </c>
      <c r="R3" s="191"/>
      <c r="S3" s="192">
        <v>100000</v>
      </c>
      <c r="T3" s="192"/>
      <c r="U3" s="192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7" si="14">$S4/(1+($B$1-$O4+$P4)/36500)^$N4</f>
        <v>78260.941153235224</v>
      </c>
      <c r="C4" s="88">
        <f t="shared" si="0"/>
        <v>81390.35792021385</v>
      </c>
      <c r="D4" s="88">
        <f t="shared" si="5"/>
        <v>81790.257589614819</v>
      </c>
      <c r="E4" s="88">
        <f t="shared" si="6"/>
        <v>82192.127623228167</v>
      </c>
      <c r="F4" s="88">
        <f t="shared" si="7"/>
        <v>82595.97775651206</v>
      </c>
      <c r="G4" s="88">
        <f t="shared" si="8"/>
        <v>83001.817773141971</v>
      </c>
      <c r="H4" s="88">
        <f t="shared" si="9"/>
        <v>83409.657505288895</v>
      </c>
      <c r="I4" s="88">
        <f t="shared" si="10"/>
        <v>83819.506833825639</v>
      </c>
      <c r="J4" s="88">
        <f t="shared" si="11"/>
        <v>84231.375688590531</v>
      </c>
      <c r="K4" s="88">
        <f t="shared" si="12"/>
        <v>84645.274048636085</v>
      </c>
      <c r="L4" s="88">
        <f t="shared" si="1"/>
        <v>82192.127623228167</v>
      </c>
      <c r="M4" s="87" t="s">
        <v>994</v>
      </c>
      <c r="N4" s="87">
        <f>573-$AD$19</f>
        <v>358</v>
      </c>
      <c r="O4" s="87">
        <v>0</v>
      </c>
      <c r="P4" s="87">
        <v>0</v>
      </c>
      <c r="Q4" s="87">
        <v>0</v>
      </c>
      <c r="R4" s="87">
        <f t="shared" si="2"/>
        <v>11.737704918032787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95254.922794916449</v>
      </c>
      <c r="C5" s="57">
        <f t="shared" si="0"/>
        <v>95998.504919087878</v>
      </c>
      <c r="D5" s="57">
        <f t="shared" si="5"/>
        <v>96091.865647144165</v>
      </c>
      <c r="E5" s="57">
        <f t="shared" si="6"/>
        <v>96185.318450699473</v>
      </c>
      <c r="F5" s="57">
        <f t="shared" si="7"/>
        <v>96278.863421826318</v>
      </c>
      <c r="G5" s="57">
        <f t="shared" si="8"/>
        <v>96372.500652686154</v>
      </c>
      <c r="H5" s="57">
        <f t="shared" si="9"/>
        <v>96466.230235538329</v>
      </c>
      <c r="I5" s="57">
        <f t="shared" si="10"/>
        <v>96560.05226273209</v>
      </c>
      <c r="J5" s="57">
        <f t="shared" si="11"/>
        <v>96653.966826711927</v>
      </c>
      <c r="K5" s="57">
        <f t="shared" si="12"/>
        <v>96747.974020018606</v>
      </c>
      <c r="L5" s="57">
        <f t="shared" si="1"/>
        <v>96185.318450699473</v>
      </c>
      <c r="M5" s="12" t="s">
        <v>996</v>
      </c>
      <c r="N5" s="12">
        <f>286-$AD$19</f>
        <v>71</v>
      </c>
      <c r="O5" s="12">
        <v>0</v>
      </c>
      <c r="P5" s="12">
        <v>0</v>
      </c>
      <c r="Q5" s="12">
        <v>0</v>
      </c>
      <c r="R5" s="12">
        <f t="shared" si="2"/>
        <v>2.3278688524590163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84036.996442112853</v>
      </c>
      <c r="C6" s="86">
        <f t="shared" si="0"/>
        <v>86407.564406254474</v>
      </c>
      <c r="D6" s="86">
        <f t="shared" si="5"/>
        <v>86708.567625146796</v>
      </c>
      <c r="E6" s="86">
        <f t="shared" si="6"/>
        <v>87010.623539942841</v>
      </c>
      <c r="F6" s="86">
        <f t="shared" si="7"/>
        <v>87313.735846721756</v>
      </c>
      <c r="G6" s="86">
        <f t="shared" si="8"/>
        <v>87617.908254576352</v>
      </c>
      <c r="H6" s="86">
        <f t="shared" si="9"/>
        <v>87923.144485687997</v>
      </c>
      <c r="I6" s="86">
        <f t="shared" si="10"/>
        <v>88229.448275346891</v>
      </c>
      <c r="J6" s="86">
        <f t="shared" si="11"/>
        <v>88536.823372014915</v>
      </c>
      <c r="K6" s="86">
        <f t="shared" si="12"/>
        <v>88845.273537376081</v>
      </c>
      <c r="L6" s="86">
        <f t="shared" si="1"/>
        <v>87010.623539942841</v>
      </c>
      <c r="M6" s="148" t="s">
        <v>995</v>
      </c>
      <c r="N6" s="148">
        <f>469-$AD$19</f>
        <v>254</v>
      </c>
      <c r="O6" s="148">
        <v>0</v>
      </c>
      <c r="P6" s="148">
        <v>0</v>
      </c>
      <c r="Q6" s="148">
        <v>0</v>
      </c>
      <c r="R6" s="148">
        <f t="shared" si="2"/>
        <v>8.3278688524590159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1" t="s">
        <v>986</v>
      </c>
      <c r="B7" s="192">
        <f t="shared" si="14"/>
        <v>84036.996442112853</v>
      </c>
      <c r="C7" s="192">
        <f t="shared" si="0"/>
        <v>86407.564406254474</v>
      </c>
      <c r="D7" s="192">
        <f t="shared" si="5"/>
        <v>86708.567625146796</v>
      </c>
      <c r="E7" s="192">
        <f t="shared" si="6"/>
        <v>87010.623539942841</v>
      </c>
      <c r="F7" s="192">
        <f t="shared" si="7"/>
        <v>87313.735846721756</v>
      </c>
      <c r="G7" s="192">
        <f t="shared" si="8"/>
        <v>87617.908254576352</v>
      </c>
      <c r="H7" s="192">
        <f t="shared" si="9"/>
        <v>87923.144485687997</v>
      </c>
      <c r="I7" s="192">
        <f t="shared" si="10"/>
        <v>88229.448275346891</v>
      </c>
      <c r="J7" s="192">
        <f t="shared" si="11"/>
        <v>88536.823372014915</v>
      </c>
      <c r="K7" s="192">
        <f t="shared" si="12"/>
        <v>88845.273537376081</v>
      </c>
      <c r="L7" s="192">
        <f t="shared" si="1"/>
        <v>87010.623539942841</v>
      </c>
      <c r="M7" s="191" t="s">
        <v>995</v>
      </c>
      <c r="N7" s="191">
        <f>469-$AD$19</f>
        <v>254</v>
      </c>
      <c r="O7" s="191">
        <v>0</v>
      </c>
      <c r="P7" s="191">
        <v>0</v>
      </c>
      <c r="Q7" s="191">
        <v>0</v>
      </c>
      <c r="R7" s="191">
        <f t="shared" si="2"/>
        <v>8.3278688524590159</v>
      </c>
      <c r="S7" s="192">
        <v>100000</v>
      </c>
      <c r="T7" s="192">
        <v>77700</v>
      </c>
      <c r="U7" s="192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75678.831705018965</v>
      </c>
      <c r="C8" s="88">
        <f t="shared" si="0"/>
        <v>79128.502030715972</v>
      </c>
      <c r="D8" s="88">
        <f t="shared" si="5"/>
        <v>79570.650590065037</v>
      </c>
      <c r="E8" s="88">
        <f t="shared" si="6"/>
        <v>80015.275859638554</v>
      </c>
      <c r="F8" s="88">
        <f t="shared" si="7"/>
        <v>80462.391747017551</v>
      </c>
      <c r="G8" s="88">
        <f t="shared" si="8"/>
        <v>80912.012238049705</v>
      </c>
      <c r="H8" s="88">
        <f t="shared" si="9"/>
        <v>81364.151397333437</v>
      </c>
      <c r="I8" s="88">
        <f t="shared" si="10"/>
        <v>81818.823368624173</v>
      </c>
      <c r="J8" s="88">
        <f t="shared" si="11"/>
        <v>82276.042375305027</v>
      </c>
      <c r="K8" s="88">
        <f t="shared" si="12"/>
        <v>82735.822720842072</v>
      </c>
      <c r="L8" s="88">
        <f t="shared" si="1"/>
        <v>80015.275859638554</v>
      </c>
      <c r="M8" s="87" t="s">
        <v>999</v>
      </c>
      <c r="N8" s="87">
        <f>622-$AD$19</f>
        <v>407</v>
      </c>
      <c r="O8" s="87">
        <v>0</v>
      </c>
      <c r="P8" s="87">
        <v>0</v>
      </c>
      <c r="Q8" s="87">
        <v>0</v>
      </c>
      <c r="R8" s="87">
        <f t="shared" si="2"/>
        <v>13.344262295081966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4249</v>
      </c>
      <c r="B9" s="86">
        <f t="shared" si="14"/>
        <v>97032.26148757583</v>
      </c>
      <c r="C9" s="86">
        <f t="shared" si="0"/>
        <v>97500.976868708254</v>
      </c>
      <c r="D9" s="86">
        <f t="shared" si="5"/>
        <v>97559.72888498551</v>
      </c>
      <c r="E9" s="86">
        <f t="shared" si="6"/>
        <v>97618.517109081353</v>
      </c>
      <c r="F9" s="86">
        <f t="shared" si="7"/>
        <v>97677.341563807553</v>
      </c>
      <c r="G9" s="86">
        <f t="shared" si="8"/>
        <v>97736.202271987655</v>
      </c>
      <c r="H9" s="86">
        <f t="shared" si="9"/>
        <v>97795.099256462869</v>
      </c>
      <c r="I9" s="86">
        <f t="shared" si="10"/>
        <v>97854.032540086788</v>
      </c>
      <c r="J9" s="86">
        <f t="shared" si="11"/>
        <v>97913.002145728635</v>
      </c>
      <c r="K9" s="86">
        <f t="shared" si="12"/>
        <v>97972.008096274105</v>
      </c>
      <c r="L9" s="86">
        <f t="shared" si="1"/>
        <v>97618.517109081353</v>
      </c>
      <c r="M9" s="148" t="s">
        <v>4258</v>
      </c>
      <c r="N9" s="148">
        <f>259-$AD$19</f>
        <v>44</v>
      </c>
      <c r="O9" s="148">
        <v>0</v>
      </c>
      <c r="P9" s="148">
        <v>0</v>
      </c>
      <c r="Q9" s="148">
        <v>0</v>
      </c>
      <c r="R9" s="148">
        <f t="shared" si="2"/>
        <v>1.4426229508196722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1" t="s">
        <v>988</v>
      </c>
      <c r="B10" s="192">
        <f t="shared" si="14"/>
        <v>72483.762646385265</v>
      </c>
      <c r="C10" s="192">
        <f t="shared" si="0"/>
        <v>76312.517921439678</v>
      </c>
      <c r="D10" s="192">
        <f t="shared" si="5"/>
        <v>76805.149201178749</v>
      </c>
      <c r="E10" s="192">
        <f t="shared" si="6"/>
        <v>77300.967445191563</v>
      </c>
      <c r="F10" s="192">
        <f t="shared" si="7"/>
        <v>77799.993314875799</v>
      </c>
      <c r="G10" s="192">
        <f t="shared" si="8"/>
        <v>78302.247605840821</v>
      </c>
      <c r="H10" s="192">
        <f t="shared" si="9"/>
        <v>78807.751248829009</v>
      </c>
      <c r="I10" s="192">
        <f t="shared" si="10"/>
        <v>79316.525310552912</v>
      </c>
      <c r="J10" s="192">
        <f t="shared" si="11"/>
        <v>79828.590994607497</v>
      </c>
      <c r="K10" s="192">
        <f t="shared" si="12"/>
        <v>80343.969642367781</v>
      </c>
      <c r="L10" s="192">
        <f t="shared" si="1"/>
        <v>77300.967445191563</v>
      </c>
      <c r="M10" s="191" t="s">
        <v>1000</v>
      </c>
      <c r="N10" s="191">
        <f>685-$AD$19</f>
        <v>470</v>
      </c>
      <c r="O10" s="191">
        <v>0</v>
      </c>
      <c r="P10" s="191">
        <v>0</v>
      </c>
      <c r="Q10" s="191">
        <v>0</v>
      </c>
      <c r="R10" s="191">
        <f t="shared" si="2"/>
        <v>15.409836065573771</v>
      </c>
      <c r="S10" s="192">
        <v>100000</v>
      </c>
      <c r="T10" s="192">
        <v>70000</v>
      </c>
      <c r="U10" s="192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73886.792492251203</v>
      </c>
      <c r="C11" s="88">
        <f t="shared" si="0"/>
        <v>77551.477624141829</v>
      </c>
      <c r="D11" s="88">
        <f t="shared" si="5"/>
        <v>78022.191889939975</v>
      </c>
      <c r="E11" s="88">
        <f t="shared" si="6"/>
        <v>78495.769753807748</v>
      </c>
      <c r="F11" s="88">
        <f t="shared" si="7"/>
        <v>78972.228676066603</v>
      </c>
      <c r="G11" s="88">
        <f t="shared" si="8"/>
        <v>79451.586223717939</v>
      </c>
      <c r="H11" s="88">
        <f t="shared" si="9"/>
        <v>79933.860071141942</v>
      </c>
      <c r="I11" s="88">
        <f t="shared" si="10"/>
        <v>80419.068000714571</v>
      </c>
      <c r="J11" s="88">
        <f t="shared" si="11"/>
        <v>80907.22790349467</v>
      </c>
      <c r="K11" s="88">
        <f t="shared" si="12"/>
        <v>81398.357779895814</v>
      </c>
      <c r="L11" s="88">
        <f t="shared" si="1"/>
        <v>78495.769753807748</v>
      </c>
      <c r="M11" s="87" t="s">
        <v>1001</v>
      </c>
      <c r="N11" s="87">
        <f>657-$AD$19</f>
        <v>442</v>
      </c>
      <c r="O11" s="87">
        <v>0</v>
      </c>
      <c r="P11" s="87">
        <v>0</v>
      </c>
      <c r="Q11" s="87">
        <v>0</v>
      </c>
      <c r="R11" s="87">
        <f t="shared" si="2"/>
        <v>14.491803278688524</v>
      </c>
      <c r="S11" s="88">
        <v>100000</v>
      </c>
      <c r="T11" s="88">
        <v>70700</v>
      </c>
      <c r="U11" s="88">
        <f t="shared" si="3"/>
        <v>100000.00000000001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73886.792492251203</v>
      </c>
      <c r="C12" s="86">
        <f t="shared" si="0"/>
        <v>77551.477624141829</v>
      </c>
      <c r="D12" s="86">
        <f t="shared" si="5"/>
        <v>78022.191889939975</v>
      </c>
      <c r="E12" s="86">
        <f t="shared" si="6"/>
        <v>78495.769753807748</v>
      </c>
      <c r="F12" s="86">
        <f t="shared" si="7"/>
        <v>78972.228676066603</v>
      </c>
      <c r="G12" s="86">
        <f t="shared" si="8"/>
        <v>79451.586223717939</v>
      </c>
      <c r="H12" s="86">
        <f t="shared" si="9"/>
        <v>79933.860071141942</v>
      </c>
      <c r="I12" s="86">
        <f t="shared" si="10"/>
        <v>80419.068000714571</v>
      </c>
      <c r="J12" s="86">
        <f t="shared" si="11"/>
        <v>80907.22790349467</v>
      </c>
      <c r="K12" s="86">
        <f t="shared" si="12"/>
        <v>81398.357779895814</v>
      </c>
      <c r="L12" s="86">
        <f t="shared" si="1"/>
        <v>78495.769753807748</v>
      </c>
      <c r="M12" s="148" t="s">
        <v>1001</v>
      </c>
      <c r="N12" s="148">
        <f>657-$AD$19</f>
        <v>442</v>
      </c>
      <c r="O12" s="148">
        <v>0</v>
      </c>
      <c r="P12" s="148">
        <v>0</v>
      </c>
      <c r="Q12" s="148">
        <v>0</v>
      </c>
      <c r="R12" s="148">
        <f t="shared" si="2"/>
        <v>14.491803278688524</v>
      </c>
      <c r="S12" s="86">
        <v>100000</v>
      </c>
      <c r="T12" s="86">
        <v>71000</v>
      </c>
      <c r="U12" s="86">
        <f t="shared" si="3"/>
        <v>100000.00000000001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1" t="s">
        <v>991</v>
      </c>
      <c r="B13" s="192">
        <f t="shared" si="14"/>
        <v>76774.850980691015</v>
      </c>
      <c r="C13" s="192">
        <f t="shared" si="0"/>
        <v>80090.068399743643</v>
      </c>
      <c r="D13" s="192">
        <f t="shared" si="5"/>
        <v>80514.43807467795</v>
      </c>
      <c r="E13" s="192">
        <f t="shared" si="6"/>
        <v>80941.062194577564</v>
      </c>
      <c r="F13" s="192">
        <f t="shared" si="7"/>
        <v>81369.952767202703</v>
      </c>
      <c r="G13" s="192">
        <f t="shared" si="8"/>
        <v>81801.121864415225</v>
      </c>
      <c r="H13" s="192">
        <f t="shared" si="9"/>
        <v>82234.58162256272</v>
      </c>
      <c r="I13" s="192">
        <f t="shared" si="10"/>
        <v>82670.344242787265</v>
      </c>
      <c r="J13" s="192">
        <f t="shared" si="11"/>
        <v>83108.421991395167</v>
      </c>
      <c r="K13" s="192">
        <f t="shared" si="12"/>
        <v>83548.827200211643</v>
      </c>
      <c r="L13" s="192">
        <f t="shared" si="1"/>
        <v>80941.062194577564</v>
      </c>
      <c r="M13" s="191" t="s">
        <v>993</v>
      </c>
      <c r="N13" s="191">
        <f>601-$AD$19</f>
        <v>386</v>
      </c>
      <c r="O13" s="191">
        <v>0</v>
      </c>
      <c r="P13" s="191">
        <v>0</v>
      </c>
      <c r="Q13" s="191">
        <v>0</v>
      </c>
      <c r="R13" s="191">
        <f t="shared" si="2"/>
        <v>12.655737704918034</v>
      </c>
      <c r="S13" s="192">
        <v>100000</v>
      </c>
      <c r="T13" s="192">
        <v>73100</v>
      </c>
      <c r="U13" s="192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81598.849502600657</v>
      </c>
      <c r="C14" s="88">
        <f t="shared" si="0"/>
        <v>84296.690962832407</v>
      </c>
      <c r="D14" s="88">
        <f t="shared" si="5"/>
        <v>84640.154431905132</v>
      </c>
      <c r="E14" s="88">
        <f t="shared" si="6"/>
        <v>84985.022060168194</v>
      </c>
      <c r="F14" s="88">
        <f t="shared" si="7"/>
        <v>85331.299607504028</v>
      </c>
      <c r="G14" s="88">
        <f t="shared" si="8"/>
        <v>85678.992857484875</v>
      </c>
      <c r="H14" s="88">
        <f t="shared" si="9"/>
        <v>86028.107617503905</v>
      </c>
      <c r="I14" s="88">
        <f t="shared" si="10"/>
        <v>86378.649718843706</v>
      </c>
      <c r="J14" s="88">
        <f t="shared" si="11"/>
        <v>86730.625016793841</v>
      </c>
      <c r="K14" s="88">
        <f t="shared" si="12"/>
        <v>87084.039390754231</v>
      </c>
      <c r="L14" s="88">
        <f t="shared" si="1"/>
        <v>84985.022060168194</v>
      </c>
      <c r="M14" s="87" t="s">
        <v>3857</v>
      </c>
      <c r="N14" s="87">
        <f>512-$AD$19</f>
        <v>297</v>
      </c>
      <c r="O14" s="87">
        <v>0</v>
      </c>
      <c r="P14" s="87">
        <v>0</v>
      </c>
      <c r="Q14" s="87">
        <v>0</v>
      </c>
      <c r="R14" s="87">
        <f t="shared" si="2"/>
        <v>9.7377049180327866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63337.479982716701</v>
      </c>
      <c r="C15" s="57">
        <f t="shared" si="0"/>
        <v>68137.458533977333</v>
      </c>
      <c r="D15" s="57">
        <f t="shared" si="5"/>
        <v>68762.525480874552</v>
      </c>
      <c r="E15" s="57">
        <f t="shared" si="6"/>
        <v>69393.335228337222</v>
      </c>
      <c r="F15" s="57">
        <f t="shared" si="7"/>
        <v>70029.940618052744</v>
      </c>
      <c r="G15" s="57">
        <f t="shared" si="8"/>
        <v>70672.394978627824</v>
      </c>
      <c r="H15" s="57">
        <f t="shared" si="9"/>
        <v>71320.752130143417</v>
      </c>
      <c r="I15" s="57">
        <f t="shared" si="10"/>
        <v>71975.066388635751</v>
      </c>
      <c r="J15" s="57">
        <f t="shared" si="11"/>
        <v>72635.392570708282</v>
      </c>
      <c r="K15" s="57">
        <f t="shared" si="12"/>
        <v>73301.785998160194</v>
      </c>
      <c r="L15" s="57">
        <f t="shared" si="1"/>
        <v>69393.335228337222</v>
      </c>
      <c r="M15" s="12" t="s">
        <v>3911</v>
      </c>
      <c r="N15" s="12">
        <f>882-$AD$19</f>
        <v>667</v>
      </c>
      <c r="O15" s="12">
        <v>0</v>
      </c>
      <c r="P15" s="12">
        <v>0</v>
      </c>
      <c r="Q15" s="12">
        <v>0</v>
      </c>
      <c r="R15" s="12">
        <f t="shared" si="2"/>
        <v>21.868852459016395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62134.77011021808</v>
      </c>
      <c r="C16" s="86">
        <f t="shared" si="0"/>
        <v>67048.896872041223</v>
      </c>
      <c r="D16" s="86">
        <f t="shared" si="5"/>
        <v>67689.921304164076</v>
      </c>
      <c r="E16" s="86">
        <f t="shared" si="6"/>
        <v>68337.08318579488</v>
      </c>
      <c r="F16" s="86">
        <f t="shared" si="7"/>
        <v>68990.441364824102</v>
      </c>
      <c r="G16" s="86">
        <f t="shared" si="8"/>
        <v>69650.05525418125</v>
      </c>
      <c r="H16" s="86">
        <f t="shared" si="9"/>
        <v>70315.984837330747</v>
      </c>
      <c r="I16" s="86">
        <f t="shared" si="10"/>
        <v>70988.290673702271</v>
      </c>
      <c r="J16" s="86">
        <f t="shared" si="11"/>
        <v>71667.033904264681</v>
      </c>
      <c r="K16" s="86">
        <f t="shared" si="12"/>
        <v>72352.27625712748</v>
      </c>
      <c r="L16" s="86">
        <f t="shared" si="1"/>
        <v>68337.08318579488</v>
      </c>
      <c r="M16" s="148" t="s">
        <v>4235</v>
      </c>
      <c r="N16" s="148">
        <f>910-$AD$19</f>
        <v>695</v>
      </c>
      <c r="O16" s="148">
        <v>0</v>
      </c>
      <c r="P16" s="148">
        <v>0</v>
      </c>
      <c r="Q16" s="148">
        <v>0</v>
      </c>
      <c r="R16" s="148">
        <f t="shared" si="2"/>
        <v>22.78688524590164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1" t="s">
        <v>4250</v>
      </c>
      <c r="B17" s="192">
        <f t="shared" si="14"/>
        <v>96568.310285561165</v>
      </c>
      <c r="C17" s="192">
        <f t="shared" si="0"/>
        <v>97109.203834834261</v>
      </c>
      <c r="D17" s="192">
        <f t="shared" si="5"/>
        <v>97177.032381925557</v>
      </c>
      <c r="E17" s="192">
        <f t="shared" si="6"/>
        <v>97244.909235313433</v>
      </c>
      <c r="F17" s="192">
        <f t="shared" si="7"/>
        <v>97312.834430064395</v>
      </c>
      <c r="G17" s="192">
        <f t="shared" si="8"/>
        <v>97380.808001267666</v>
      </c>
      <c r="H17" s="192">
        <f t="shared" si="9"/>
        <v>97448.829984041615</v>
      </c>
      <c r="I17" s="192">
        <f t="shared" si="10"/>
        <v>97516.900413528085</v>
      </c>
      <c r="J17" s="192">
        <f t="shared" si="11"/>
        <v>97585.01932489594</v>
      </c>
      <c r="K17" s="192">
        <f t="shared" si="12"/>
        <v>97653.186753342001</v>
      </c>
      <c r="L17" s="192">
        <f t="shared" si="1"/>
        <v>97244.909235313433</v>
      </c>
      <c r="M17" s="191" t="s">
        <v>4259</v>
      </c>
      <c r="N17" s="191">
        <f>266-$AD$19</f>
        <v>51</v>
      </c>
      <c r="O17" s="191">
        <v>0</v>
      </c>
      <c r="P17" s="191">
        <v>0</v>
      </c>
      <c r="Q17" s="191">
        <v>0</v>
      </c>
      <c r="R17" s="191">
        <f t="shared" si="2"/>
        <v>1.6721311475409837</v>
      </c>
      <c r="S17" s="192">
        <v>100000</v>
      </c>
      <c r="T17" s="192"/>
      <c r="U17" s="192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4251</v>
      </c>
      <c r="B18" s="88">
        <f t="shared" si="14"/>
        <v>94346.194475777796</v>
      </c>
      <c r="C18" s="88">
        <f t="shared" si="0"/>
        <v>95228.583093355803</v>
      </c>
      <c r="D18" s="88">
        <f t="shared" si="5"/>
        <v>95339.46719655054</v>
      </c>
      <c r="E18" s="88">
        <f t="shared" si="6"/>
        <v>95450.481933895426</v>
      </c>
      <c r="F18" s="88">
        <f t="shared" si="7"/>
        <v>95561.627461086624</v>
      </c>
      <c r="G18" s="88">
        <f t="shared" si="8"/>
        <v>95672.903934002708</v>
      </c>
      <c r="H18" s="88">
        <f t="shared" si="9"/>
        <v>95784.311508715415</v>
      </c>
      <c r="I18" s="88">
        <f t="shared" si="10"/>
        <v>95895.850341480604</v>
      </c>
      <c r="J18" s="88">
        <f t="shared" si="11"/>
        <v>96007.520588744155</v>
      </c>
      <c r="K18" s="88">
        <f t="shared" si="12"/>
        <v>96119.322407143714</v>
      </c>
      <c r="L18" s="88">
        <f t="shared" si="1"/>
        <v>95450.481933895426</v>
      </c>
      <c r="M18" s="87" t="s">
        <v>4260</v>
      </c>
      <c r="N18" s="87">
        <f>300-$AD$19</f>
        <v>85</v>
      </c>
      <c r="O18" s="87">
        <v>0</v>
      </c>
      <c r="P18" s="87">
        <v>0</v>
      </c>
      <c r="Q18" s="87">
        <v>0</v>
      </c>
      <c r="R18" s="87">
        <f t="shared" si="2"/>
        <v>2.7868852459016393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4252</v>
      </c>
      <c r="B19" s="57">
        <f t="shared" si="14"/>
        <v>57312.083665709892</v>
      </c>
      <c r="C19" s="57">
        <f t="shared" si="0"/>
        <v>62649.222368169714</v>
      </c>
      <c r="D19" s="57">
        <f t="shared" si="5"/>
        <v>63350.444767761997</v>
      </c>
      <c r="E19" s="57">
        <f t="shared" si="6"/>
        <v>64059.525595904379</v>
      </c>
      <c r="F19" s="57">
        <f t="shared" si="7"/>
        <v>64776.553029510746</v>
      </c>
      <c r="G19" s="57">
        <f t="shared" si="8"/>
        <v>65501.616236093148</v>
      </c>
      <c r="H19" s="57">
        <f t="shared" si="9"/>
        <v>66234.805384973253</v>
      </c>
      <c r="I19" s="57">
        <f t="shared" si="10"/>
        <v>66976.21165848957</v>
      </c>
      <c r="J19" s="57">
        <f t="shared" si="11"/>
        <v>67725.927263431644</v>
      </c>
      <c r="K19" s="57">
        <f t="shared" si="12"/>
        <v>68484.045442574017</v>
      </c>
      <c r="L19" s="57">
        <f t="shared" si="1"/>
        <v>64059.525595904379</v>
      </c>
      <c r="M19" s="12" t="s">
        <v>4261</v>
      </c>
      <c r="N19" s="12">
        <f>1028-$AD$19</f>
        <v>813</v>
      </c>
      <c r="O19" s="12">
        <v>0</v>
      </c>
      <c r="P19" s="12">
        <v>0</v>
      </c>
      <c r="Q19" s="12">
        <v>0</v>
      </c>
      <c r="R19" s="12">
        <f t="shared" si="2"/>
        <v>26.655737704918032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215</v>
      </c>
      <c r="AF19" s="26"/>
    </row>
    <row r="20" spans="1:32" ht="22.5" customHeight="1" x14ac:dyDescent="0.25">
      <c r="A20" s="148" t="s">
        <v>4253</v>
      </c>
      <c r="B20" s="86">
        <f t="shared" si="14"/>
        <v>81598.849502600657</v>
      </c>
      <c r="C20" s="86">
        <f t="shared" si="0"/>
        <v>84296.690962832407</v>
      </c>
      <c r="D20" s="86">
        <f t="shared" si="5"/>
        <v>84640.154431905132</v>
      </c>
      <c r="E20" s="86">
        <f t="shared" si="6"/>
        <v>84985.022060168194</v>
      </c>
      <c r="F20" s="86">
        <f t="shared" si="7"/>
        <v>85331.299607504028</v>
      </c>
      <c r="G20" s="86">
        <f t="shared" si="8"/>
        <v>85678.992857484875</v>
      </c>
      <c r="H20" s="86">
        <f t="shared" si="9"/>
        <v>86028.107617503905</v>
      </c>
      <c r="I20" s="86">
        <f t="shared" si="10"/>
        <v>86378.649718843706</v>
      </c>
      <c r="J20" s="86">
        <f t="shared" si="11"/>
        <v>86730.625016793841</v>
      </c>
      <c r="K20" s="86">
        <f t="shared" si="12"/>
        <v>87084.039390754231</v>
      </c>
      <c r="L20" s="86">
        <f t="shared" si="1"/>
        <v>84985.022060168194</v>
      </c>
      <c r="M20" s="148" t="s">
        <v>3857</v>
      </c>
      <c r="N20" s="148">
        <f>512-$AD$19</f>
        <v>297</v>
      </c>
      <c r="O20" s="148">
        <v>0</v>
      </c>
      <c r="P20" s="148">
        <v>0</v>
      </c>
      <c r="Q20" s="148">
        <v>0</v>
      </c>
      <c r="R20" s="148">
        <f t="shared" si="2"/>
        <v>9.7377049180327866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1" t="s">
        <v>4254</v>
      </c>
      <c r="B21" s="192">
        <f t="shared" si="14"/>
        <v>64918.091760050855</v>
      </c>
      <c r="C21" s="192">
        <f>$S21/(1+($C$1-$O21+$P21)/36500)^$N21</f>
        <v>69563.046589556005</v>
      </c>
      <c r="D21" s="192">
        <f t="shared" si="5"/>
        <v>70166.599764861909</v>
      </c>
      <c r="E21" s="192">
        <f t="shared" si="6"/>
        <v>70775.39794834776</v>
      </c>
      <c r="F21" s="192">
        <f t="shared" si="7"/>
        <v>71389.486793035612</v>
      </c>
      <c r="G21" s="192">
        <f t="shared" si="8"/>
        <v>72008.912349919498</v>
      </c>
      <c r="H21" s="192">
        <f t="shared" si="9"/>
        <v>72633.721071498905</v>
      </c>
      <c r="I21" s="192">
        <f t="shared" si="10"/>
        <v>73263.959815232069</v>
      </c>
      <c r="J21" s="192">
        <f t="shared" si="11"/>
        <v>73899.675847105333</v>
      </c>
      <c r="K21" s="192">
        <f t="shared" si="12"/>
        <v>74540.916845208703</v>
      </c>
      <c r="L21" s="192">
        <f t="shared" si="1"/>
        <v>70775.39794834776</v>
      </c>
      <c r="M21" s="191" t="s">
        <v>4262</v>
      </c>
      <c r="N21" s="191">
        <f>846-$AD$19</f>
        <v>631</v>
      </c>
      <c r="O21" s="191">
        <v>0</v>
      </c>
      <c r="P21" s="191">
        <v>0</v>
      </c>
      <c r="Q21" s="191">
        <v>0</v>
      </c>
      <c r="R21" s="191">
        <f t="shared" si="2"/>
        <v>20.688524590163933</v>
      </c>
      <c r="S21" s="192">
        <v>100000</v>
      </c>
      <c r="T21" s="192"/>
      <c r="U21" s="192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191" t="s">
        <v>4324</v>
      </c>
      <c r="B22" s="192">
        <f t="shared" si="14"/>
        <v>78207.374458400693</v>
      </c>
      <c r="C22" s="192">
        <f>$S22/(1+($C$1-$O22+$P22)/36500)^$N22</f>
        <v>81343.557517258683</v>
      </c>
      <c r="D22" s="192">
        <f t="shared" si="5"/>
        <v>81744.346381373209</v>
      </c>
      <c r="E22" s="192">
        <f t="shared" si="6"/>
        <v>82147.115505143156</v>
      </c>
      <c r="F22" s="192">
        <f t="shared" si="7"/>
        <v>82551.874700165383</v>
      </c>
      <c r="G22" s="192">
        <f t="shared" si="8"/>
        <v>82958.633826766396</v>
      </c>
      <c r="H22" s="192">
        <f t="shared" si="9"/>
        <v>83367.402794283596</v>
      </c>
      <c r="I22" s="192">
        <f t="shared" si="10"/>
        <v>83778.191561274871</v>
      </c>
      <c r="J22" s="192">
        <f t="shared" si="11"/>
        <v>84191.01013578572</v>
      </c>
      <c r="K22" s="192">
        <f t="shared" si="12"/>
        <v>84605.868575600893</v>
      </c>
      <c r="L22" s="192">
        <f t="shared" si="1"/>
        <v>82147.115505143156</v>
      </c>
      <c r="M22" s="191" t="s">
        <v>4325</v>
      </c>
      <c r="N22" s="191">
        <f>574-$AD$19</f>
        <v>359</v>
      </c>
      <c r="O22" s="191">
        <v>0</v>
      </c>
      <c r="P22" s="191"/>
      <c r="Q22" s="191">
        <v>0</v>
      </c>
      <c r="R22" s="191">
        <f t="shared" si="2"/>
        <v>11.770491803278688</v>
      </c>
      <c r="S22" s="192">
        <v>100000</v>
      </c>
      <c r="T22" s="192"/>
      <c r="U22" s="192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87" t="s">
        <v>4255</v>
      </c>
      <c r="B23" s="88">
        <f t="shared" si="14"/>
        <v>82950.819148649098</v>
      </c>
      <c r="C23" s="88">
        <f t="shared" ref="C23:C37" si="16">$S23/(1+($C$1-$O23+$P23)/36500)^$N23</f>
        <v>85468.412189252165</v>
      </c>
      <c r="D23" s="88">
        <f t="shared" si="5"/>
        <v>85788.45675841374</v>
      </c>
      <c r="E23" s="88">
        <f t="shared" si="6"/>
        <v>86109.7041711645</v>
      </c>
      <c r="F23" s="88">
        <f t="shared" si="7"/>
        <v>86432.158964795482</v>
      </c>
      <c r="G23" s="88">
        <f t="shared" si="8"/>
        <v>86755.82569376014</v>
      </c>
      <c r="H23" s="88">
        <f t="shared" si="9"/>
        <v>87080.708929770233</v>
      </c>
      <c r="I23" s="88">
        <f t="shared" si="10"/>
        <v>87406.813261833871</v>
      </c>
      <c r="J23" s="88">
        <f t="shared" si="11"/>
        <v>87734.143296338574</v>
      </c>
      <c r="K23" s="88">
        <f t="shared" si="12"/>
        <v>88062.703657121427</v>
      </c>
      <c r="L23" s="88">
        <f t="shared" si="1"/>
        <v>86109.7041711645</v>
      </c>
      <c r="M23" s="87" t="s">
        <v>4263</v>
      </c>
      <c r="N23" s="87">
        <f>488-$AD$19</f>
        <v>273</v>
      </c>
      <c r="O23" s="87">
        <v>0</v>
      </c>
      <c r="P23" s="87">
        <v>0</v>
      </c>
      <c r="Q23" s="87">
        <v>0</v>
      </c>
      <c r="R23" s="87">
        <f t="shared" si="2"/>
        <v>8.9508196721311482</v>
      </c>
      <c r="S23" s="88">
        <v>100000</v>
      </c>
      <c r="T23" s="88"/>
      <c r="U23" s="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48" t="s">
        <v>4256</v>
      </c>
      <c r="B24" s="86">
        <f t="shared" si="14"/>
        <v>81208.691799076521</v>
      </c>
      <c r="C24" s="86">
        <f t="shared" si="16"/>
        <v>83957.974660445863</v>
      </c>
      <c r="D24" s="86">
        <f t="shared" si="5"/>
        <v>84308.137405107831</v>
      </c>
      <c r="E24" s="86">
        <f t="shared" si="6"/>
        <v>84659.765394380724</v>
      </c>
      <c r="F24" s="86">
        <f t="shared" si="7"/>
        <v>85012.864779727854</v>
      </c>
      <c r="G24" s="86">
        <f t="shared" si="8"/>
        <v>85367.44173850576</v>
      </c>
      <c r="H24" s="86">
        <f t="shared" si="9"/>
        <v>85723.502474107387</v>
      </c>
      <c r="I24" s="86">
        <f t="shared" si="10"/>
        <v>86081.053216041924</v>
      </c>
      <c r="J24" s="86">
        <f t="shared" si="11"/>
        <v>86440.100220064065</v>
      </c>
      <c r="K24" s="86">
        <f t="shared" si="12"/>
        <v>86800.649768289528</v>
      </c>
      <c r="L24" s="86">
        <f t="shared" si="1"/>
        <v>84659.765394380724</v>
      </c>
      <c r="M24" s="148" t="s">
        <v>4264</v>
      </c>
      <c r="N24" s="148">
        <f>519-$AD$19</f>
        <v>304</v>
      </c>
      <c r="O24" s="148">
        <v>0</v>
      </c>
      <c r="P24" s="148">
        <v>0</v>
      </c>
      <c r="Q24" s="148">
        <v>0</v>
      </c>
      <c r="R24" s="148">
        <f t="shared" si="2"/>
        <v>9.9672131147540988</v>
      </c>
      <c r="S24" s="86">
        <v>100000</v>
      </c>
      <c r="T24" s="86"/>
      <c r="U24" s="86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91" t="s">
        <v>1005</v>
      </c>
      <c r="B25" s="192">
        <f t="shared" si="14"/>
        <v>75841.597190222921</v>
      </c>
      <c r="C25" s="192">
        <f t="shared" si="16"/>
        <v>86328.342189879098</v>
      </c>
      <c r="D25" s="192">
        <f t="shared" si="5"/>
        <v>87737.362672338291</v>
      </c>
      <c r="E25" s="192">
        <f t="shared" si="6"/>
        <v>89169.400459614</v>
      </c>
      <c r="F25" s="192">
        <f t="shared" si="7"/>
        <v>90624.831877960605</v>
      </c>
      <c r="G25" s="192">
        <f t="shared" si="8"/>
        <v>92104.039411818914</v>
      </c>
      <c r="H25" s="192">
        <f t="shared" si="9"/>
        <v>93607.411804606978</v>
      </c>
      <c r="I25" s="192">
        <f t="shared" si="10"/>
        <v>95135.34416109274</v>
      </c>
      <c r="J25" s="192">
        <f t="shared" si="11"/>
        <v>96688.238051877139</v>
      </c>
      <c r="K25" s="192">
        <f t="shared" si="12"/>
        <v>98266.501618984184</v>
      </c>
      <c r="L25" s="192">
        <f t="shared" si="1"/>
        <v>89169.400459614</v>
      </c>
      <c r="M25" s="191" t="s">
        <v>1006</v>
      </c>
      <c r="N25" s="191">
        <f>1397-$AD$19</f>
        <v>1182</v>
      </c>
      <c r="O25" s="191">
        <v>17</v>
      </c>
      <c r="P25" s="191">
        <f>$AI$2</f>
        <v>0.54</v>
      </c>
      <c r="Q25" s="191">
        <v>6</v>
      </c>
      <c r="R25" s="191">
        <f t="shared" si="2"/>
        <v>38.754098360655739</v>
      </c>
      <c r="S25" s="192">
        <v>100000</v>
      </c>
      <c r="T25" s="192">
        <v>96000</v>
      </c>
      <c r="U25" s="192">
        <f t="shared" si="3"/>
        <v>170367.66360892358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87" t="s">
        <v>962</v>
      </c>
      <c r="B26" s="88">
        <f t="shared" si="14"/>
        <v>95775.032884274216</v>
      </c>
      <c r="C26" s="88">
        <f t="shared" si="16"/>
        <v>99508.789221917541</v>
      </c>
      <c r="D26" s="88">
        <f t="shared" si="5"/>
        <v>99985.658565677499</v>
      </c>
      <c r="E26" s="88">
        <f t="shared" si="6"/>
        <v>100464.81975813871</v>
      </c>
      <c r="F26" s="88">
        <f t="shared" si="7"/>
        <v>100946.28384562477</v>
      </c>
      <c r="G26" s="88">
        <f t="shared" si="8"/>
        <v>101430.06192784384</v>
      </c>
      <c r="H26" s="88">
        <f t="shared" si="9"/>
        <v>101916.16515816454</v>
      </c>
      <c r="I26" s="88">
        <f t="shared" si="10"/>
        <v>102404.60474385342</v>
      </c>
      <c r="J26" s="88">
        <f t="shared" si="11"/>
        <v>102895.39194636964</v>
      </c>
      <c r="K26" s="88">
        <f t="shared" si="12"/>
        <v>103388.53808159976</v>
      </c>
      <c r="L26" s="88">
        <f t="shared" si="1"/>
        <v>100464.81975813871</v>
      </c>
      <c r="M26" s="87" t="s">
        <v>977</v>
      </c>
      <c r="N26" s="87">
        <f>564-$AD$19</f>
        <v>349</v>
      </c>
      <c r="O26" s="87">
        <v>21</v>
      </c>
      <c r="P26" s="87">
        <f t="shared" ref="P26:P31" si="17">$AI$1</f>
        <v>0.51500000000000001</v>
      </c>
      <c r="Q26" s="87">
        <v>3</v>
      </c>
      <c r="R26" s="87">
        <f t="shared" si="2"/>
        <v>11.442622950819672</v>
      </c>
      <c r="S26" s="88">
        <v>100000</v>
      </c>
      <c r="T26" s="88">
        <v>100000</v>
      </c>
      <c r="U26" s="88">
        <f t="shared" si="3"/>
        <v>121627.28210685971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2" t="s">
        <v>963</v>
      </c>
      <c r="B27" s="57">
        <f t="shared" si="14"/>
        <v>90901.084786737658</v>
      </c>
      <c r="C27" s="57">
        <f t="shared" si="16"/>
        <v>94620.416078931899</v>
      </c>
      <c r="D27" s="57">
        <f t="shared" si="5"/>
        <v>95095.936800013078</v>
      </c>
      <c r="E27" s="57">
        <f t="shared" si="6"/>
        <v>95573.85384202181</v>
      </c>
      <c r="F27" s="57">
        <f t="shared" si="7"/>
        <v>96054.179313938206</v>
      </c>
      <c r="G27" s="57">
        <f t="shared" si="8"/>
        <v>96536.925386132163</v>
      </c>
      <c r="H27" s="57">
        <f t="shared" si="9"/>
        <v>97022.104290612886</v>
      </c>
      <c r="I27" s="57">
        <f t="shared" si="10"/>
        <v>97509.728321388742</v>
      </c>
      <c r="J27" s="57">
        <f t="shared" si="11"/>
        <v>97999.809834766726</v>
      </c>
      <c r="K27" s="57">
        <f t="shared" si="12"/>
        <v>98492.361249646638</v>
      </c>
      <c r="L27" s="57">
        <f t="shared" si="1"/>
        <v>95573.85384202181</v>
      </c>
      <c r="M27" s="12" t="s">
        <v>978</v>
      </c>
      <c r="N27" s="12">
        <f>581-$AD$19</f>
        <v>366</v>
      </c>
      <c r="O27" s="12">
        <v>16</v>
      </c>
      <c r="P27" s="12">
        <f t="shared" si="17"/>
        <v>0.51500000000000001</v>
      </c>
      <c r="Q27" s="12">
        <v>3</v>
      </c>
      <c r="R27" s="12">
        <f t="shared" si="2"/>
        <v>12</v>
      </c>
      <c r="S27" s="57">
        <v>100000</v>
      </c>
      <c r="T27" s="57">
        <v>92000</v>
      </c>
      <c r="U27" s="57">
        <f t="shared" si="3"/>
        <v>116789.25305482328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48" t="s">
        <v>956</v>
      </c>
      <c r="B28" s="86">
        <f t="shared" si="14"/>
        <v>94961.102112927096</v>
      </c>
      <c r="C28" s="86">
        <f t="shared" si="16"/>
        <v>99411.959107312141</v>
      </c>
      <c r="D28" s="86">
        <f t="shared" si="5"/>
        <v>99982.82339668757</v>
      </c>
      <c r="E28" s="86">
        <f t="shared" si="6"/>
        <v>100556.97371076824</v>
      </c>
      <c r="F28" s="86">
        <f t="shared" si="7"/>
        <v>101134.42901007108</v>
      </c>
      <c r="G28" s="86">
        <f t="shared" si="8"/>
        <v>101715.20836476695</v>
      </c>
      <c r="H28" s="86">
        <f t="shared" si="9"/>
        <v>102299.33095533701</v>
      </c>
      <c r="I28" s="86">
        <f t="shared" si="10"/>
        <v>102886.81607318486</v>
      </c>
      <c r="J28" s="86">
        <f t="shared" si="11"/>
        <v>103477.68312132011</v>
      </c>
      <c r="K28" s="86">
        <f t="shared" si="12"/>
        <v>104071.95161497153</v>
      </c>
      <c r="L28" s="86">
        <f t="shared" si="1"/>
        <v>100556.97371076824</v>
      </c>
      <c r="M28" s="148" t="s">
        <v>979</v>
      </c>
      <c r="N28" s="148">
        <f>633-$AD$19</f>
        <v>418</v>
      </c>
      <c r="O28" s="148">
        <v>21</v>
      </c>
      <c r="P28" s="148">
        <f t="shared" si="17"/>
        <v>0.51500000000000001</v>
      </c>
      <c r="Q28" s="148">
        <v>3</v>
      </c>
      <c r="R28" s="148">
        <f t="shared" si="2"/>
        <v>13.704918032786885</v>
      </c>
      <c r="S28" s="86">
        <v>100000</v>
      </c>
      <c r="T28" s="86">
        <v>100000</v>
      </c>
      <c r="U28" s="86">
        <f t="shared" si="3"/>
        <v>126427.71507431762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1" t="s">
        <v>949</v>
      </c>
      <c r="B29" s="90">
        <f t="shared" si="14"/>
        <v>94165.735150583583</v>
      </c>
      <c r="C29" s="94">
        <f t="shared" si="16"/>
        <v>99316.624513238989</v>
      </c>
      <c r="D29" s="90">
        <f t="shared" si="5"/>
        <v>99980.029395757461</v>
      </c>
      <c r="E29" s="90">
        <f t="shared" si="6"/>
        <v>100647.87480035124</v>
      </c>
      <c r="F29" s="90">
        <f t="shared" si="7"/>
        <v>101320.19051124901</v>
      </c>
      <c r="G29" s="90">
        <f t="shared" si="8"/>
        <v>101997.00651285234</v>
      </c>
      <c r="H29" s="90">
        <f t="shared" si="9"/>
        <v>102678.35299110807</v>
      </c>
      <c r="I29" s="90">
        <f t="shared" si="10"/>
        <v>103364.26033483377</v>
      </c>
      <c r="J29" s="90">
        <f t="shared" si="11"/>
        <v>104054.75913713119</v>
      </c>
      <c r="K29" s="90">
        <f t="shared" si="12"/>
        <v>104749.88019672284</v>
      </c>
      <c r="L29" s="92">
        <f t="shared" si="1"/>
        <v>100647.87480035124</v>
      </c>
      <c r="M29" s="91" t="s">
        <v>980</v>
      </c>
      <c r="N29" s="91">
        <f>701-$AD$19</f>
        <v>486</v>
      </c>
      <c r="O29" s="91">
        <v>21</v>
      </c>
      <c r="P29" s="91">
        <f t="shared" si="17"/>
        <v>0.51500000000000001</v>
      </c>
      <c r="Q29" s="91">
        <v>3</v>
      </c>
      <c r="R29" s="91">
        <f t="shared" si="2"/>
        <v>15.934426229508198</v>
      </c>
      <c r="S29" s="92">
        <v>100000</v>
      </c>
      <c r="T29" s="92">
        <v>100000</v>
      </c>
      <c r="U29" s="92">
        <f t="shared" si="3"/>
        <v>131343.90799876134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3" t="s">
        <v>964</v>
      </c>
      <c r="B30" s="90">
        <f t="shared" si="14"/>
        <v>89977.467415084</v>
      </c>
      <c r="C30" s="94">
        <f t="shared" si="16"/>
        <v>95180.012009041369</v>
      </c>
      <c r="D30" s="90">
        <f t="shared" si="5"/>
        <v>95851.17523120917</v>
      </c>
      <c r="E30" s="90">
        <f t="shared" si="6"/>
        <v>96527.080461192643</v>
      </c>
      <c r="F30" s="90">
        <f t="shared" si="7"/>
        <v>97207.761268625676</v>
      </c>
      <c r="G30" s="90">
        <f t="shared" si="8"/>
        <v>97893.251461226086</v>
      </c>
      <c r="H30" s="90">
        <f t="shared" si="9"/>
        <v>98583.585086544495</v>
      </c>
      <c r="I30" s="90">
        <f t="shared" si="10"/>
        <v>99278.796433602562</v>
      </c>
      <c r="J30" s="90">
        <f t="shared" si="11"/>
        <v>99978.920034690775</v>
      </c>
      <c r="K30" s="90">
        <f t="shared" si="12"/>
        <v>100683.99066701226</v>
      </c>
      <c r="L30" s="94">
        <f t="shared" si="1"/>
        <v>96527.080461192643</v>
      </c>
      <c r="M30" s="93" t="s">
        <v>1004</v>
      </c>
      <c r="N30" s="93">
        <f>728-$AD$19</f>
        <v>513</v>
      </c>
      <c r="O30" s="93">
        <v>18</v>
      </c>
      <c r="P30" s="93">
        <f t="shared" si="17"/>
        <v>0.51500000000000001</v>
      </c>
      <c r="Q30" s="93">
        <v>3</v>
      </c>
      <c r="R30" s="93">
        <f t="shared" si="2"/>
        <v>16.819672131147541</v>
      </c>
      <c r="S30" s="94">
        <v>100000</v>
      </c>
      <c r="T30" s="94">
        <v>95000</v>
      </c>
      <c r="U30" s="94">
        <f t="shared" si="3"/>
        <v>127843.75608369721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148" t="s">
        <v>965</v>
      </c>
      <c r="B31" s="86">
        <f t="shared" si="14"/>
        <v>88793.491078070962</v>
      </c>
      <c r="C31" s="86">
        <f t="shared" si="16"/>
        <v>93342.513133756351</v>
      </c>
      <c r="D31" s="86">
        <f t="shared" si="5"/>
        <v>93927.324450331071</v>
      </c>
      <c r="E31" s="86">
        <f t="shared" si="6"/>
        <v>94515.807823526207</v>
      </c>
      <c r="F31" s="86">
        <f t="shared" si="7"/>
        <v>95107.986361098287</v>
      </c>
      <c r="G31" s="86">
        <f t="shared" si="8"/>
        <v>95703.883316579391</v>
      </c>
      <c r="H31" s="86">
        <f t="shared" si="9"/>
        <v>96303.522090121682</v>
      </c>
      <c r="I31" s="86">
        <f t="shared" si="10"/>
        <v>96906.9262294816</v>
      </c>
      <c r="J31" s="86">
        <f t="shared" si="11"/>
        <v>97514.119430933759</v>
      </c>
      <c r="K31" s="86">
        <f t="shared" si="12"/>
        <v>98125.125540182096</v>
      </c>
      <c r="L31" s="86">
        <f t="shared" si="1"/>
        <v>94515.807823526207</v>
      </c>
      <c r="M31" s="148" t="s">
        <v>981</v>
      </c>
      <c r="N31" s="148">
        <f>671-$AD$19</f>
        <v>456</v>
      </c>
      <c r="O31" s="148">
        <v>16</v>
      </c>
      <c r="P31" s="148">
        <f t="shared" si="17"/>
        <v>0.51500000000000001</v>
      </c>
      <c r="Q31" s="148">
        <v>3</v>
      </c>
      <c r="R31" s="148">
        <f t="shared" si="2"/>
        <v>14.950819672131148</v>
      </c>
      <c r="S31" s="86">
        <v>100000</v>
      </c>
      <c r="T31" s="86">
        <v>90600</v>
      </c>
      <c r="U31" s="86">
        <f t="shared" si="3"/>
        <v>121332.55967871752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1" t="s">
        <v>966</v>
      </c>
      <c r="B32" s="90">
        <f t="shared" si="14"/>
        <v>80066.024349114174</v>
      </c>
      <c r="C32" s="94">
        <f t="shared" si="16"/>
        <v>87113.809729016211</v>
      </c>
      <c r="D32" s="90">
        <f t="shared" si="5"/>
        <v>88037.384609270259</v>
      </c>
      <c r="E32" s="90">
        <f t="shared" si="6"/>
        <v>88970.764020985138</v>
      </c>
      <c r="F32" s="90">
        <f t="shared" si="7"/>
        <v>89914.052184024287</v>
      </c>
      <c r="G32" s="90">
        <f t="shared" si="8"/>
        <v>90867.354427553146</v>
      </c>
      <c r="H32" s="90">
        <f t="shared" si="9"/>
        <v>91830.777201777615</v>
      </c>
      <c r="I32" s="90">
        <f t="shared" si="10"/>
        <v>92804.428090030342</v>
      </c>
      <c r="J32" s="90">
        <f t="shared" si="11"/>
        <v>93788.415820704366</v>
      </c>
      <c r="K32" s="90">
        <f t="shared" si="12"/>
        <v>94782.850279580118</v>
      </c>
      <c r="L32" s="92">
        <f t="shared" si="1"/>
        <v>88970.764020985138</v>
      </c>
      <c r="M32" s="91" t="s">
        <v>982</v>
      </c>
      <c r="N32" s="91">
        <f>985-$AD$19</f>
        <v>770</v>
      </c>
      <c r="O32" s="91">
        <v>15</v>
      </c>
      <c r="P32" s="91">
        <f>$AI$2</f>
        <v>0.54</v>
      </c>
      <c r="Q32" s="91">
        <v>6</v>
      </c>
      <c r="R32" s="91">
        <f t="shared" si="2"/>
        <v>25.245901639344261</v>
      </c>
      <c r="S32" s="92">
        <v>100000</v>
      </c>
      <c r="T32" s="92">
        <v>85800</v>
      </c>
      <c r="U32" s="92">
        <f t="shared" si="3"/>
        <v>135648.68240551016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3" t="s">
        <v>940</v>
      </c>
      <c r="B33" s="90">
        <f t="shared" si="14"/>
        <v>90363.011860798244</v>
      </c>
      <c r="C33" s="94">
        <f t="shared" si="16"/>
        <v>91839.637645662457</v>
      </c>
      <c r="D33" s="90">
        <f t="shared" si="5"/>
        <v>92025.915943764121</v>
      </c>
      <c r="E33" s="90">
        <f t="shared" si="6"/>
        <v>92212.574628162096</v>
      </c>
      <c r="F33" s="90">
        <f t="shared" si="7"/>
        <v>92399.614480845572</v>
      </c>
      <c r="G33" s="90">
        <f t="shared" si="8"/>
        <v>92587.036285413182</v>
      </c>
      <c r="H33" s="90">
        <f t="shared" si="9"/>
        <v>92774.8408270941</v>
      </c>
      <c r="I33" s="90">
        <f t="shared" si="10"/>
        <v>92963.028892735631</v>
      </c>
      <c r="J33" s="90">
        <f t="shared" si="11"/>
        <v>93151.601270816493</v>
      </c>
      <c r="K33" s="90">
        <f t="shared" si="12"/>
        <v>93340.558751452481</v>
      </c>
      <c r="L33" s="94">
        <f t="shared" si="1"/>
        <v>92212.574628162096</v>
      </c>
      <c r="M33" s="93" t="s">
        <v>983</v>
      </c>
      <c r="N33" s="93">
        <f>363-$AD$19</f>
        <v>148</v>
      </c>
      <c r="O33" s="93">
        <v>0</v>
      </c>
      <c r="P33" s="93">
        <v>0</v>
      </c>
      <c r="Q33" s="93">
        <v>0</v>
      </c>
      <c r="R33" s="93">
        <f t="shared" si="2"/>
        <v>4.8524590163934427</v>
      </c>
      <c r="S33" s="94">
        <v>100000</v>
      </c>
      <c r="T33" s="94">
        <v>82800</v>
      </c>
      <c r="U33" s="94">
        <f>B33*(1+$AC$2/36500)^N33</f>
        <v>100000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89" t="s">
        <v>971</v>
      </c>
      <c r="B34" s="90">
        <f>$S34/(1+($B$1-$O34+$P34)/36500)^$N34</f>
        <v>85204.442106228438</v>
      </c>
      <c r="C34" s="94">
        <f t="shared" si="16"/>
        <v>95646.470612195801</v>
      </c>
      <c r="D34" s="90">
        <f t="shared" si="5"/>
        <v>97038.74582700005</v>
      </c>
      <c r="E34" s="90">
        <f t="shared" si="6"/>
        <v>98451.307147225496</v>
      </c>
      <c r="F34" s="90">
        <f t="shared" si="7"/>
        <v>99884.450434981438</v>
      </c>
      <c r="G34" s="90">
        <f t="shared" si="8"/>
        <v>101338.47587147345</v>
      </c>
      <c r="H34" s="90">
        <f t="shared" si="9"/>
        <v>102813.68802018567</v>
      </c>
      <c r="I34" s="90">
        <f t="shared" si="10"/>
        <v>104310.39589086889</v>
      </c>
      <c r="J34" s="90">
        <f t="shared" si="11"/>
        <v>105828.91300451537</v>
      </c>
      <c r="K34" s="90">
        <f t="shared" si="12"/>
        <v>107369.55745933311</v>
      </c>
      <c r="L34" s="90">
        <f t="shared" si="1"/>
        <v>98451.307147225496</v>
      </c>
      <c r="M34" s="89" t="s">
        <v>974</v>
      </c>
      <c r="N34" s="89">
        <f>1270-$AD$19</f>
        <v>1055</v>
      </c>
      <c r="O34" s="89">
        <v>20</v>
      </c>
      <c r="P34" s="89">
        <f>$AI$2</f>
        <v>0.54</v>
      </c>
      <c r="Q34" s="89">
        <v>6</v>
      </c>
      <c r="R34" s="89">
        <f t="shared" si="2"/>
        <v>34.590163934426229</v>
      </c>
      <c r="S34" s="90">
        <v>100000</v>
      </c>
      <c r="T34" s="90">
        <v>100000</v>
      </c>
      <c r="U34" s="90">
        <f t="shared" si="3"/>
        <v>175459.62436647559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48" t="s">
        <v>975</v>
      </c>
      <c r="B35" s="86">
        <f t="shared" si="14"/>
        <v>98670.393813129529</v>
      </c>
      <c r="C35" s="86">
        <f t="shared" si="16"/>
        <v>100184.87053250454</v>
      </c>
      <c r="D35" s="86">
        <f t="shared" si="5"/>
        <v>100375.81908608624</v>
      </c>
      <c r="E35" s="86">
        <f t="shared" si="6"/>
        <v>100567.13420365333</v>
      </c>
      <c r="F35" s="86">
        <f t="shared" si="7"/>
        <v>100758.81659393676</v>
      </c>
      <c r="G35" s="86">
        <f t="shared" si="8"/>
        <v>100950.86696704177</v>
      </c>
      <c r="H35" s="86">
        <f t="shared" si="9"/>
        <v>101143.2860344636</v>
      </c>
      <c r="I35" s="86">
        <f t="shared" si="10"/>
        <v>101336.0745090792</v>
      </c>
      <c r="J35" s="86">
        <f t="shared" si="11"/>
        <v>101529.2331051534</v>
      </c>
      <c r="K35" s="86">
        <f t="shared" si="12"/>
        <v>101722.76253834282</v>
      </c>
      <c r="L35" s="86">
        <f t="shared" si="1"/>
        <v>100567.13420365333</v>
      </c>
      <c r="M35" s="148" t="s">
        <v>976</v>
      </c>
      <c r="N35" s="148">
        <f>354-$AD$19</f>
        <v>139</v>
      </c>
      <c r="O35" s="148">
        <v>22</v>
      </c>
      <c r="P35" s="148">
        <f>AI1</f>
        <v>0.51500000000000001</v>
      </c>
      <c r="Q35" s="148">
        <v>3</v>
      </c>
      <c r="R35" s="148">
        <f t="shared" si="2"/>
        <v>4.557377049180328</v>
      </c>
      <c r="S35" s="86">
        <v>100000</v>
      </c>
      <c r="T35" s="86">
        <v>103000</v>
      </c>
      <c r="U35" s="86">
        <f t="shared" si="3"/>
        <v>108522.53310350592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91" t="s">
        <v>997</v>
      </c>
      <c r="B36" s="192">
        <f t="shared" si="14"/>
        <v>94047.849074196623</v>
      </c>
      <c r="C36" s="192">
        <f t="shared" si="16"/>
        <v>100000</v>
      </c>
      <c r="D36" s="192">
        <f t="shared" si="5"/>
        <v>100770.07851151787</v>
      </c>
      <c r="E36" s="192">
        <f t="shared" si="6"/>
        <v>101546.0979034738</v>
      </c>
      <c r="F36" s="192">
        <f t="shared" si="7"/>
        <v>102328.10408997424</v>
      </c>
      <c r="G36" s="192">
        <f t="shared" si="8"/>
        <v>103116.14334057819</v>
      </c>
      <c r="H36" s="192">
        <f t="shared" si="9"/>
        <v>103910.26228313085</v>
      </c>
      <c r="I36" s="192">
        <f t="shared" si="10"/>
        <v>104710.50790645969</v>
      </c>
      <c r="J36" s="192">
        <f t="shared" si="11"/>
        <v>105516.92756322876</v>
      </c>
      <c r="K36" s="192">
        <f t="shared" si="12"/>
        <v>106329.56897273049</v>
      </c>
      <c r="L36" s="192">
        <f t="shared" si="1"/>
        <v>101546.0979034738</v>
      </c>
      <c r="M36" s="191" t="s">
        <v>998</v>
      </c>
      <c r="N36" s="191">
        <f>775-$AD$19</f>
        <v>560</v>
      </c>
      <c r="O36" s="191">
        <v>21</v>
      </c>
      <c r="P36" s="191">
        <v>0</v>
      </c>
      <c r="Q36" s="191">
        <v>1</v>
      </c>
      <c r="R36" s="191">
        <f t="shared" si="2"/>
        <v>18.360655737704917</v>
      </c>
      <c r="S36" s="192">
        <v>100000</v>
      </c>
      <c r="T36" s="192">
        <v>104000</v>
      </c>
      <c r="U36" s="192">
        <f t="shared" si="3"/>
        <v>137997.28796254343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87" t="s">
        <v>1046</v>
      </c>
      <c r="B37" s="88">
        <f t="shared" si="14"/>
        <v>77021.707927699055</v>
      </c>
      <c r="C37" s="88">
        <f t="shared" si="16"/>
        <v>87039.911248755991</v>
      </c>
      <c r="D37" s="88">
        <f t="shared" si="5"/>
        <v>88380.613214681129</v>
      </c>
      <c r="E37" s="88">
        <f t="shared" si="6"/>
        <v>89741.985206395198</v>
      </c>
      <c r="F37" s="88">
        <f t="shared" si="7"/>
        <v>91124.346189859818</v>
      </c>
      <c r="G37" s="88">
        <f t="shared" si="8"/>
        <v>92528.020057651491</v>
      </c>
      <c r="H37" s="88">
        <f t="shared" si="9"/>
        <v>93953.33570506057</v>
      </c>
      <c r="I37" s="88">
        <f t="shared" si="10"/>
        <v>95400.627107301247</v>
      </c>
      <c r="J37" s="88">
        <f t="shared" si="11"/>
        <v>96870.233398326178</v>
      </c>
      <c r="K37" s="88">
        <f t="shared" si="12"/>
        <v>98362.49895028655</v>
      </c>
      <c r="L37" s="88">
        <f t="shared" si="1"/>
        <v>89741.985206395198</v>
      </c>
      <c r="M37" s="87" t="s">
        <v>1047</v>
      </c>
      <c r="N37" s="87">
        <f>1331-$AD$19</f>
        <v>1116</v>
      </c>
      <c r="O37" s="87">
        <v>17</v>
      </c>
      <c r="P37" s="87">
        <f>AI2</f>
        <v>0.54</v>
      </c>
      <c r="Q37" s="87">
        <v>6</v>
      </c>
      <c r="R37" s="87">
        <f t="shared" si="2"/>
        <v>36.590163934426229</v>
      </c>
      <c r="S37" s="88">
        <v>100000</v>
      </c>
      <c r="T37" s="88"/>
      <c r="U37" s="88">
        <f t="shared" si="3"/>
        <v>165373.93941175321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170" t="s">
        <v>4041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 t="s"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 t="s">
        <v>25</v>
      </c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 t="s">
        <v>25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1107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1108</v>
      </c>
      <c r="E50">
        <v>7.2499999999999995E-2</v>
      </c>
      <c r="AD50" s="25"/>
      <c r="AE50" s="26"/>
    </row>
    <row r="51" spans="1:31" x14ac:dyDescent="0.25">
      <c r="D51" t="s">
        <v>1109</v>
      </c>
      <c r="E51">
        <v>0.125</v>
      </c>
      <c r="AD51" s="25"/>
      <c r="AE51" s="26"/>
    </row>
    <row r="52" spans="1:31" x14ac:dyDescent="0.25">
      <c r="D52" t="s">
        <v>3788</v>
      </c>
      <c r="E52">
        <v>0.49</v>
      </c>
      <c r="AD52" s="25"/>
      <c r="AE52" s="26"/>
    </row>
    <row r="53" spans="1:31" x14ac:dyDescent="0.25">
      <c r="D53" t="s">
        <v>3789</v>
      </c>
      <c r="E53">
        <v>1.03</v>
      </c>
      <c r="H53">
        <v>120377</v>
      </c>
      <c r="I53" s="90">
        <v>72.585300000000004</v>
      </c>
      <c r="J53" s="90">
        <f>H53*I53</f>
        <v>8737600.6580999997</v>
      </c>
      <c r="AD53" s="25"/>
      <c r="AE53" s="26"/>
    </row>
    <row r="54" spans="1:31" x14ac:dyDescent="0.25">
      <c r="H54">
        <v>25183</v>
      </c>
      <c r="I54" s="90">
        <v>71.859800000000007</v>
      </c>
      <c r="J54" s="90">
        <f>H54*I54</f>
        <v>1809645.3434000001</v>
      </c>
      <c r="AD54" s="25"/>
      <c r="AE54" s="26"/>
    </row>
    <row r="55" spans="1:31" x14ac:dyDescent="0.25">
      <c r="AD55" s="25"/>
      <c r="AE55" s="26"/>
    </row>
    <row r="56" spans="1:31" x14ac:dyDescent="0.25">
      <c r="H56">
        <v>145560</v>
      </c>
      <c r="I56">
        <v>72.252300000000005</v>
      </c>
      <c r="J56">
        <f>H56*I56</f>
        <v>10517044.788000001</v>
      </c>
      <c r="L56" s="114">
        <f>J53+J54-J56</f>
        <v>30201.213499998674</v>
      </c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62">
        <v>605</v>
      </c>
      <c r="B62" t="s">
        <v>4247</v>
      </c>
      <c r="AD62" s="25"/>
      <c r="AE62" s="26"/>
    </row>
    <row r="63" spans="1:31" x14ac:dyDescent="0.25">
      <c r="A63">
        <v>611</v>
      </c>
      <c r="B63" t="s">
        <v>4239</v>
      </c>
      <c r="AD63" s="25"/>
      <c r="AE63" s="26"/>
    </row>
    <row r="64" spans="1:31" x14ac:dyDescent="0.25">
      <c r="AD64" s="25"/>
      <c r="AE64" s="26"/>
    </row>
    <row r="65" spans="1:31" x14ac:dyDescent="0.25">
      <c r="A65">
        <v>701</v>
      </c>
      <c r="B65" t="s">
        <v>4240</v>
      </c>
      <c r="AD65" s="25"/>
      <c r="AE65" s="26"/>
    </row>
    <row r="66" spans="1:31" x14ac:dyDescent="0.25">
      <c r="A66">
        <v>702</v>
      </c>
      <c r="B66" t="s">
        <v>4241</v>
      </c>
      <c r="AD66" s="25"/>
      <c r="AE66" s="26"/>
    </row>
    <row r="67" spans="1:31" x14ac:dyDescent="0.25">
      <c r="A67">
        <v>704</v>
      </c>
      <c r="B67" t="s">
        <v>4242</v>
      </c>
      <c r="AD67" s="25"/>
      <c r="AE67" s="26"/>
    </row>
    <row r="68" spans="1:31" x14ac:dyDescent="0.25">
      <c r="A68">
        <v>705</v>
      </c>
      <c r="B68" t="s">
        <v>4243</v>
      </c>
      <c r="AD68" s="25"/>
      <c r="AE68" s="26"/>
    </row>
    <row r="69" spans="1:31" x14ac:dyDescent="0.25">
      <c r="A69">
        <v>706</v>
      </c>
      <c r="B69" t="s">
        <v>4244</v>
      </c>
      <c r="AD69" s="25"/>
      <c r="AE69" s="26"/>
    </row>
    <row r="70" spans="1:31" x14ac:dyDescent="0.25">
      <c r="A70" s="25">
        <v>711</v>
      </c>
      <c r="B70" s="25" t="s">
        <v>4245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AD70" s="25"/>
      <c r="AE70" s="26"/>
    </row>
    <row r="71" spans="1:31" x14ac:dyDescent="0.25">
      <c r="A71" s="122">
        <v>712</v>
      </c>
      <c r="B71" s="122" t="s">
        <v>4246</v>
      </c>
      <c r="AD71" s="25"/>
      <c r="AE71" s="26"/>
    </row>
    <row r="72" spans="1:31" x14ac:dyDescent="0.25">
      <c r="AD72" s="25"/>
      <c r="AE72" s="26"/>
    </row>
    <row r="73" spans="1:31" x14ac:dyDescent="0.25">
      <c r="S73" t="s">
        <v>25</v>
      </c>
      <c r="AD73" s="25"/>
      <c r="AE73" s="26"/>
    </row>
    <row r="74" spans="1:31" x14ac:dyDescent="0.25">
      <c r="T74" t="s">
        <v>25</v>
      </c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9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1230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14300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4285</v>
      </c>
      <c r="B8" s="95">
        <f>B2*B4*B5*B6/(B1*B3)+B7</f>
        <v>4144749.302250803</v>
      </c>
      <c r="C8" s="99">
        <f>B2*B4*B5/(B1*B3)+B7/B6</f>
        <v>289.8426085490072</v>
      </c>
      <c r="D8" s="99" t="s">
        <v>4288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4286</v>
      </c>
      <c r="B9" s="95">
        <v>4395000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4287</v>
      </c>
      <c r="B10" s="95">
        <f>B9-B8</f>
        <v>250250.69774919702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4180</v>
      </c>
      <c r="J11" s="69" t="s">
        <v>4179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4" t="s">
        <v>1091</v>
      </c>
      <c r="R21" s="194"/>
      <c r="S21" s="194"/>
      <c r="T21" s="194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4"/>
      <c r="R22" s="194"/>
      <c r="S22" s="194"/>
      <c r="T22" s="194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5" t="s">
        <v>1092</v>
      </c>
      <c r="R23" s="196" t="s">
        <v>1093</v>
      </c>
      <c r="S23" s="195" t="s">
        <v>1094</v>
      </c>
      <c r="T23" s="197" t="s">
        <v>1095</v>
      </c>
      <c r="AD23" t="s">
        <v>25</v>
      </c>
    </row>
    <row r="24" spans="5:35" x14ac:dyDescent="0.25">
      <c r="O24" s="99"/>
      <c r="P24" s="99"/>
      <c r="Q24" s="195"/>
      <c r="R24" s="196"/>
      <c r="S24" s="195"/>
      <c r="T24" s="197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4229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-99</v>
      </c>
      <c r="C91" s="144">
        <f>$B$89/(1+(C$90/36500))^$B91</f>
        <v>3150062.1164515787</v>
      </c>
      <c r="D91" s="144">
        <f>$B$89/(1+(D$90/36500))^$B91</f>
        <v>3158613.3780243127</v>
      </c>
      <c r="E91" s="144">
        <f t="shared" ref="E91:K106" si="0">$B$89/(1+(E$90/36500))^$B91</f>
        <v>3167187.6180211208</v>
      </c>
      <c r="F91" s="144">
        <f t="shared" si="0"/>
        <v>3175784.897556474</v>
      </c>
      <c r="G91" s="144">
        <f t="shared" si="0"/>
        <v>3184405.2779055871</v>
      </c>
      <c r="H91" s="144">
        <f t="shared" si="0"/>
        <v>3193048.8205052596</v>
      </c>
      <c r="I91" s="144">
        <f t="shared" si="0"/>
        <v>3201715.5869537424</v>
      </c>
      <c r="J91" s="144">
        <f t="shared" si="0"/>
        <v>3210405.6390114254</v>
      </c>
      <c r="K91" s="144">
        <f>$B$89/(1+(K$90/36500))^$B91</f>
        <v>3219119.038601317</v>
      </c>
      <c r="L91" s="99"/>
    </row>
    <row r="92" spans="1:12" x14ac:dyDescent="0.25">
      <c r="A92" s="145" t="s">
        <v>3860</v>
      </c>
      <c r="B92" s="91">
        <f>120-'اوراق بدون ریسک'!$AD$19</f>
        <v>-95</v>
      </c>
      <c r="C92" s="146">
        <f t="shared" ref="C92:K112" si="1">$B$89/(1+(C$90/36500))^$B92</f>
        <v>3143855.9486163468</v>
      </c>
      <c r="D92" s="146">
        <f t="shared" si="1"/>
        <v>3152045.0892070993</v>
      </c>
      <c r="E92" s="146">
        <f t="shared" si="0"/>
        <v>3160255.3358185221</v>
      </c>
      <c r="F92" s="146">
        <f t="shared" si="0"/>
        <v>3168486.7422673861</v>
      </c>
      <c r="G92" s="146">
        <f t="shared" si="0"/>
        <v>3176739.3625060865</v>
      </c>
      <c r="H92" s="146">
        <f t="shared" si="0"/>
        <v>3185013.250623391</v>
      </c>
      <c r="I92" s="146">
        <f t="shared" si="0"/>
        <v>3193308.4608442546</v>
      </c>
      <c r="J92" s="146">
        <f t="shared" si="0"/>
        <v>3201625.0475304057</v>
      </c>
      <c r="K92" s="146">
        <f t="shared" si="0"/>
        <v>3209963.0651807515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-78</v>
      </c>
      <c r="C93" s="149">
        <f t="shared" si="1"/>
        <v>3117615.8544741101</v>
      </c>
      <c r="D93" s="149">
        <f t="shared" si="1"/>
        <v>3124281.8982553305</v>
      </c>
      <c r="E93" s="149">
        <f t="shared" si="0"/>
        <v>3130962.0121611017</v>
      </c>
      <c r="F93" s="149">
        <f t="shared" si="0"/>
        <v>3137656.225502972</v>
      </c>
      <c r="G93" s="149">
        <f t="shared" si="0"/>
        <v>3144364.5676526511</v>
      </c>
      <c r="H93" s="149">
        <f t="shared" si="0"/>
        <v>3151087.068042465</v>
      </c>
      <c r="I93" s="149">
        <f t="shared" si="0"/>
        <v>3157823.756165049</v>
      </c>
      <c r="J93" s="149">
        <f t="shared" si="0"/>
        <v>3164574.6615736741</v>
      </c>
      <c r="K93" s="149">
        <f t="shared" si="0"/>
        <v>3171339.8138824194</v>
      </c>
      <c r="L93" s="144">
        <f t="shared" ref="L93:L114" si="2">$B$89/(1+(L$92/36500))^$B91</f>
        <v>3227855.8478094088</v>
      </c>
    </row>
    <row r="94" spans="1:12" x14ac:dyDescent="0.25">
      <c r="A94" s="150" t="s">
        <v>3862</v>
      </c>
      <c r="B94" s="151">
        <f>116-'اوراق بدون ریسک'!$AD$19</f>
        <v>-99</v>
      </c>
      <c r="C94" s="152">
        <f t="shared" si="1"/>
        <v>3150062.1164515787</v>
      </c>
      <c r="D94" s="152">
        <f t="shared" si="1"/>
        <v>3158613.3780243127</v>
      </c>
      <c r="E94" s="152">
        <f t="shared" si="0"/>
        <v>3167187.6180211208</v>
      </c>
      <c r="F94" s="152">
        <f t="shared" si="0"/>
        <v>3175784.897556474</v>
      </c>
      <c r="G94" s="152">
        <f t="shared" si="0"/>
        <v>3184405.2779055871</v>
      </c>
      <c r="H94" s="152">
        <f t="shared" si="0"/>
        <v>3193048.8205052596</v>
      </c>
      <c r="I94" s="152">
        <f t="shared" si="0"/>
        <v>3201715.5869537424</v>
      </c>
      <c r="J94" s="152">
        <f t="shared" si="0"/>
        <v>3210405.6390114254</v>
      </c>
      <c r="K94" s="152">
        <f t="shared" si="0"/>
        <v>3219119.038601317</v>
      </c>
      <c r="L94" s="146">
        <f t="shared" si="2"/>
        <v>3218322.5684316549</v>
      </c>
    </row>
    <row r="95" spans="1:12" x14ac:dyDescent="0.25">
      <c r="A95" s="153" t="s">
        <v>3863</v>
      </c>
      <c r="B95" s="154">
        <f>167-'اوراق بدون ریسک'!$AD$19</f>
        <v>-48</v>
      </c>
      <c r="C95" s="155">
        <f t="shared" si="1"/>
        <v>3071842.9370643608</v>
      </c>
      <c r="D95" s="155">
        <f t="shared" si="1"/>
        <v>3075883.2291562115</v>
      </c>
      <c r="E95" s="155">
        <f t="shared" si="0"/>
        <v>3079928.7244567242</v>
      </c>
      <c r="F95" s="155">
        <f t="shared" si="0"/>
        <v>3083979.4295239989</v>
      </c>
      <c r="G95" s="155">
        <f t="shared" si="0"/>
        <v>3088035.3509241617</v>
      </c>
      <c r="H95" s="155">
        <f t="shared" si="0"/>
        <v>3092096.4952315772</v>
      </c>
      <c r="I95" s="155">
        <f t="shared" si="0"/>
        <v>3096162.8690286009</v>
      </c>
      <c r="J95" s="155">
        <f t="shared" si="0"/>
        <v>3100234.4789057062</v>
      </c>
      <c r="K95" s="155">
        <f t="shared" si="0"/>
        <v>3104311.3314615292</v>
      </c>
      <c r="L95" s="149">
        <f t="shared" si="2"/>
        <v>3178119.2427662434</v>
      </c>
    </row>
    <row r="96" spans="1:12" x14ac:dyDescent="0.25">
      <c r="A96" s="158" t="s">
        <v>3864</v>
      </c>
      <c r="B96" s="23">
        <f>181-'اوراق بدون ریسک'!$AD$19</f>
        <v>-34</v>
      </c>
      <c r="C96" s="159">
        <f t="shared" si="1"/>
        <v>3050712.8327120002</v>
      </c>
      <c r="D96" s="159">
        <f t="shared" si="1"/>
        <v>3053554.4756259243</v>
      </c>
      <c r="E96" s="159">
        <f t="shared" si="0"/>
        <v>3056398.6875203233</v>
      </c>
      <c r="F96" s="159">
        <f t="shared" si="0"/>
        <v>3059245.4706472377</v>
      </c>
      <c r="G96" s="159">
        <f t="shared" si="0"/>
        <v>3062094.8272605818</v>
      </c>
      <c r="H96" s="159">
        <f t="shared" si="0"/>
        <v>3064946.7596162837</v>
      </c>
      <c r="I96" s="159">
        <f t="shared" si="0"/>
        <v>3067801.2699721074</v>
      </c>
      <c r="J96" s="159">
        <f t="shared" si="0"/>
        <v>3070658.3605877347</v>
      </c>
      <c r="K96" s="159">
        <f t="shared" si="0"/>
        <v>3073518.0337247937</v>
      </c>
      <c r="L96" s="152">
        <f t="shared" si="2"/>
        <v>3227855.8478094088</v>
      </c>
    </row>
    <row r="97" spans="1:12" x14ac:dyDescent="0.25">
      <c r="A97" s="160" t="s">
        <v>3865</v>
      </c>
      <c r="B97" s="87">
        <f>197-'اوراق بدون ریسک'!$AD$19</f>
        <v>-18</v>
      </c>
      <c r="C97" s="140">
        <f t="shared" si="1"/>
        <v>3026742.0588236433</v>
      </c>
      <c r="D97" s="140">
        <f t="shared" si="1"/>
        <v>3028234.3103187042</v>
      </c>
      <c r="E97" s="140">
        <f t="shared" si="0"/>
        <v>3029727.2566351183</v>
      </c>
      <c r="F97" s="140">
        <f t="shared" si="0"/>
        <v>3031220.8980773692</v>
      </c>
      <c r="G97" s="140">
        <f t="shared" si="0"/>
        <v>3032715.2349500456</v>
      </c>
      <c r="H97" s="140">
        <f t="shared" si="0"/>
        <v>3034210.267557912</v>
      </c>
      <c r="I97" s="140">
        <f t="shared" si="0"/>
        <v>3035705.9962058174</v>
      </c>
      <c r="J97" s="140">
        <f t="shared" si="0"/>
        <v>3037202.4211987359</v>
      </c>
      <c r="K97" s="140">
        <f t="shared" si="0"/>
        <v>3038699.5428417823</v>
      </c>
      <c r="L97" s="155">
        <f t="shared" si="2"/>
        <v>3108393.4333028463</v>
      </c>
    </row>
    <row r="98" spans="1:12" x14ac:dyDescent="0.25">
      <c r="A98" s="161" t="s">
        <v>3866</v>
      </c>
      <c r="B98" s="23">
        <f>214-'اوراق بدون ریسک'!$AD$19</f>
        <v>-1</v>
      </c>
      <c r="C98" s="106">
        <f t="shared" si="1"/>
        <v>3001479.4520547944</v>
      </c>
      <c r="D98" s="106">
        <f t="shared" si="1"/>
        <v>3001561.6438356168</v>
      </c>
      <c r="E98" s="106">
        <f t="shared" si="0"/>
        <v>3001643.8356164382</v>
      </c>
      <c r="F98" s="106">
        <f t="shared" si="0"/>
        <v>3001726.0273972605</v>
      </c>
      <c r="G98" s="106">
        <f t="shared" si="0"/>
        <v>3001808.219178082</v>
      </c>
      <c r="H98" s="106">
        <f t="shared" si="0"/>
        <v>3001890.4109589038</v>
      </c>
      <c r="I98" s="106">
        <f t="shared" si="0"/>
        <v>3001972.6027397257</v>
      </c>
      <c r="J98" s="106">
        <f t="shared" si="0"/>
        <v>3002054.7945205481</v>
      </c>
      <c r="K98" s="106">
        <f t="shared" si="0"/>
        <v>3002136.98630137</v>
      </c>
      <c r="L98" s="159">
        <f t="shared" si="2"/>
        <v>3076380.2916468363</v>
      </c>
    </row>
    <row r="99" spans="1:12" x14ac:dyDescent="0.25">
      <c r="A99" s="162" t="s">
        <v>3867</v>
      </c>
      <c r="B99" s="163">
        <f>272-'اوراق بدون ریسک'!$AD$19</f>
        <v>57</v>
      </c>
      <c r="C99" s="164">
        <f t="shared" si="1"/>
        <v>2916865.6390593918</v>
      </c>
      <c r="D99" s="164">
        <f t="shared" si="1"/>
        <v>2912316.3926723166</v>
      </c>
      <c r="E99" s="164">
        <f t="shared" si="0"/>
        <v>2907774.3657291452</v>
      </c>
      <c r="F99" s="164">
        <f t="shared" si="0"/>
        <v>2903239.5465757377</v>
      </c>
      <c r="G99" s="164">
        <f t="shared" si="0"/>
        <v>2898711.9235771471</v>
      </c>
      <c r="H99" s="164">
        <f t="shared" si="0"/>
        <v>2894191.4851173707</v>
      </c>
      <c r="I99" s="164">
        <f t="shared" si="0"/>
        <v>2889678.2195996</v>
      </c>
      <c r="J99" s="164">
        <f t="shared" si="0"/>
        <v>2885172.1154460553</v>
      </c>
      <c r="K99" s="164">
        <f t="shared" si="0"/>
        <v>2880673.1610979242</v>
      </c>
      <c r="L99" s="140">
        <f t="shared" si="2"/>
        <v>3040197.3614401976</v>
      </c>
    </row>
    <row r="100" spans="1:12" x14ac:dyDescent="0.25">
      <c r="A100" s="147" t="s">
        <v>3868</v>
      </c>
      <c r="B100" s="148">
        <f>302-'اوراق بدون ریسک'!$AD$19</f>
        <v>87</v>
      </c>
      <c r="C100" s="149">
        <f t="shared" si="1"/>
        <v>2874040.1415561009</v>
      </c>
      <c r="D100" s="149">
        <f t="shared" si="1"/>
        <v>2867201.3095936747</v>
      </c>
      <c r="E100" s="149">
        <f t="shared" si="0"/>
        <v>2860378.9373562397</v>
      </c>
      <c r="F100" s="149">
        <f t="shared" si="0"/>
        <v>2853572.984779391</v>
      </c>
      <c r="G100" s="149">
        <f t="shared" si="0"/>
        <v>2846783.4118974316</v>
      </c>
      <c r="H100" s="149">
        <f t="shared" si="0"/>
        <v>2840010.1788427942</v>
      </c>
      <c r="I100" s="149">
        <f t="shared" si="0"/>
        <v>2833253.2458462282</v>
      </c>
      <c r="J100" s="149">
        <f t="shared" si="0"/>
        <v>2826512.5732363556</v>
      </c>
      <c r="K100" s="149">
        <f t="shared" si="0"/>
        <v>2819788.1214393699</v>
      </c>
      <c r="L100" s="106">
        <f t="shared" si="2"/>
        <v>3002219.1780821919</v>
      </c>
    </row>
    <row r="101" spans="1:12" x14ac:dyDescent="0.25">
      <c r="A101" s="150" t="s">
        <v>3869</v>
      </c>
      <c r="B101" s="151">
        <f>319-'اوراق بدون ریسک'!$AD$19</f>
        <v>104</v>
      </c>
      <c r="C101" s="152">
        <f t="shared" si="1"/>
        <v>2850052.0565052601</v>
      </c>
      <c r="D101" s="152">
        <f t="shared" si="1"/>
        <v>2841947.0206471183</v>
      </c>
      <c r="E101" s="152">
        <f t="shared" si="0"/>
        <v>2833865.2550454582</v>
      </c>
      <c r="F101" s="152">
        <f t="shared" si="0"/>
        <v>2825806.6922549144</v>
      </c>
      <c r="G101" s="152">
        <f t="shared" si="0"/>
        <v>2817771.265027557</v>
      </c>
      <c r="H101" s="152">
        <f t="shared" si="0"/>
        <v>2809758.9063119027</v>
      </c>
      <c r="I101" s="152">
        <f t="shared" si="0"/>
        <v>2801769.5492528607</v>
      </c>
      <c r="J101" s="152">
        <f t="shared" si="0"/>
        <v>2793803.1271909038</v>
      </c>
      <c r="K101" s="152">
        <f t="shared" si="0"/>
        <v>2785859.5736614303</v>
      </c>
      <c r="L101" s="164">
        <f t="shared" si="2"/>
        <v>2876181.3450153568</v>
      </c>
    </row>
    <row r="102" spans="1:12" x14ac:dyDescent="0.25">
      <c r="A102" s="147" t="s">
        <v>3870</v>
      </c>
      <c r="B102" s="148">
        <f>334-'اوراق بدون ریسک'!$AD$19</f>
        <v>119</v>
      </c>
      <c r="C102" s="149">
        <f t="shared" si="1"/>
        <v>2829052.4228269844</v>
      </c>
      <c r="D102" s="149">
        <f t="shared" si="1"/>
        <v>2819848.6134082247</v>
      </c>
      <c r="E102" s="149">
        <f t="shared" si="0"/>
        <v>2810674.9977111639</v>
      </c>
      <c r="F102" s="149">
        <f t="shared" si="0"/>
        <v>2801531.475860538</v>
      </c>
      <c r="G102" s="149">
        <f t="shared" si="0"/>
        <v>2792417.9483142998</v>
      </c>
      <c r="H102" s="149">
        <f t="shared" si="0"/>
        <v>2783334.315862054</v>
      </c>
      <c r="I102" s="149">
        <f t="shared" si="0"/>
        <v>2774280.4796245173</v>
      </c>
      <c r="J102" s="149">
        <f t="shared" si="0"/>
        <v>2765256.3410521401</v>
      </c>
      <c r="K102" s="149">
        <f t="shared" si="0"/>
        <v>2756261.8019239213</v>
      </c>
      <c r="L102" s="149">
        <f t="shared" si="2"/>
        <v>2813079.8509788504</v>
      </c>
    </row>
    <row r="103" spans="1:12" x14ac:dyDescent="0.25">
      <c r="A103" s="150" t="s">
        <v>3871</v>
      </c>
      <c r="B103" s="151">
        <f>349-'اوراق بدون ریسک'!$AD$19</f>
        <v>134</v>
      </c>
      <c r="C103" s="152">
        <f t="shared" si="1"/>
        <v>2808207.5177662475</v>
      </c>
      <c r="D103" s="152">
        <f t="shared" si="1"/>
        <v>2797922.0389300925</v>
      </c>
      <c r="E103" s="152">
        <f t="shared" si="0"/>
        <v>2787674.5122914924</v>
      </c>
      <c r="F103" s="152">
        <f t="shared" si="0"/>
        <v>2777464.7967778635</v>
      </c>
      <c r="G103" s="152">
        <f t="shared" si="0"/>
        <v>2767292.7518449905</v>
      </c>
      <c r="H103" s="152">
        <f t="shared" si="0"/>
        <v>2757158.2374745291</v>
      </c>
      <c r="I103" s="152">
        <f t="shared" si="0"/>
        <v>2747061.1141726761</v>
      </c>
      <c r="J103" s="152">
        <f t="shared" si="0"/>
        <v>2737001.2429678855</v>
      </c>
      <c r="K103" s="152">
        <f t="shared" si="0"/>
        <v>2726978.4854088179</v>
      </c>
      <c r="L103" s="152">
        <f t="shared" si="2"/>
        <v>2777938.8223942537</v>
      </c>
    </row>
    <row r="104" spans="1:12" x14ac:dyDescent="0.25">
      <c r="A104" s="162" t="s">
        <v>3872</v>
      </c>
      <c r="B104" s="163">
        <f>361-'اوراق بدون ریسک'!$AD$19</f>
        <v>146</v>
      </c>
      <c r="C104" s="164">
        <f t="shared" si="1"/>
        <v>2791642.2319159345</v>
      </c>
      <c r="D104" s="164">
        <f t="shared" si="1"/>
        <v>2780503.6007015868</v>
      </c>
      <c r="E104" s="164">
        <f t="shared" si="0"/>
        <v>2769409.7157220324</v>
      </c>
      <c r="F104" s="164">
        <f t="shared" si="0"/>
        <v>2758360.3960043131</v>
      </c>
      <c r="G104" s="164">
        <f t="shared" si="0"/>
        <v>2747355.4613124817</v>
      </c>
      <c r="H104" s="164">
        <f t="shared" si="0"/>
        <v>2736394.7321440415</v>
      </c>
      <c r="I104" s="164">
        <f t="shared" si="0"/>
        <v>2725478.0297276392</v>
      </c>
      <c r="J104" s="164">
        <f t="shared" si="0"/>
        <v>2714605.1760197454</v>
      </c>
      <c r="K104" s="164">
        <f t="shared" si="0"/>
        <v>2703775.993701579</v>
      </c>
      <c r="L104" s="149">
        <f t="shared" si="2"/>
        <v>2747296.7643463789</v>
      </c>
    </row>
    <row r="105" spans="1:12" x14ac:dyDescent="0.25">
      <c r="A105" s="156" t="s">
        <v>3873</v>
      </c>
      <c r="B105" s="93">
        <f>372-'اوراق بدون ریسک'!$AD$19</f>
        <v>157</v>
      </c>
      <c r="C105" s="157">
        <f t="shared" si="1"/>
        <v>2776543.2420242042</v>
      </c>
      <c r="D105" s="157">
        <f t="shared" si="1"/>
        <v>2764631.9755530925</v>
      </c>
      <c r="E105" s="157">
        <f t="shared" si="0"/>
        <v>2752772.1320338156</v>
      </c>
      <c r="F105" s="157">
        <f t="shared" si="0"/>
        <v>2740963.4880658216</v>
      </c>
      <c r="G105" s="157">
        <f t="shared" si="0"/>
        <v>2729205.8212253372</v>
      </c>
      <c r="H105" s="157">
        <f t="shared" si="0"/>
        <v>2717498.9100604923</v>
      </c>
      <c r="I105" s="157">
        <f t="shared" si="0"/>
        <v>2705842.5340877939</v>
      </c>
      <c r="J105" s="157">
        <f t="shared" si="0"/>
        <v>2694236.4737875154</v>
      </c>
      <c r="K105" s="157">
        <f t="shared" si="0"/>
        <v>2682680.510599371</v>
      </c>
      <c r="L105" s="152">
        <f t="shared" si="2"/>
        <v>2716992.7035624618</v>
      </c>
    </row>
    <row r="106" spans="1:12" x14ac:dyDescent="0.25">
      <c r="A106" s="150" t="s">
        <v>3874</v>
      </c>
      <c r="B106" s="151">
        <f>391-'اوراق بدون ریسک'!$AD$19</f>
        <v>176</v>
      </c>
      <c r="C106" s="152">
        <f t="shared" si="1"/>
        <v>2750655.2677472495</v>
      </c>
      <c r="D106" s="152">
        <f t="shared" si="1"/>
        <v>2737430.4472276922</v>
      </c>
      <c r="E106" s="152">
        <f t="shared" si="0"/>
        <v>2724269.5695801163</v>
      </c>
      <c r="F106" s="152">
        <f t="shared" si="0"/>
        <v>2711172.323898335</v>
      </c>
      <c r="G106" s="152">
        <f t="shared" si="0"/>
        <v>2698138.4007964996</v>
      </c>
      <c r="H106" s="152">
        <f t="shared" si="0"/>
        <v>2685167.4924009806</v>
      </c>
      <c r="I106" s="152">
        <f t="shared" si="0"/>
        <v>2672259.2923437655</v>
      </c>
      <c r="J106" s="152">
        <f t="shared" si="0"/>
        <v>2659413.4957546731</v>
      </c>
      <c r="K106" s="152">
        <f t="shared" si="0"/>
        <v>2646629.799253881</v>
      </c>
      <c r="L106" s="164">
        <f t="shared" si="2"/>
        <v>2692990.3061762266</v>
      </c>
    </row>
    <row r="107" spans="1:12" x14ac:dyDescent="0.25">
      <c r="A107" s="156" t="s">
        <v>3875</v>
      </c>
      <c r="B107" s="93">
        <f>407-'اوراق بدون ریسک'!$AD$19</f>
        <v>192</v>
      </c>
      <c r="C107" s="157">
        <f t="shared" si="1"/>
        <v>2729042.1762884334</v>
      </c>
      <c r="D107" s="157">
        <f t="shared" si="1"/>
        <v>2714731.5918465005</v>
      </c>
      <c r="E107" s="157">
        <f t="shared" si="1"/>
        <v>2700496.4382035048</v>
      </c>
      <c r="F107" s="157">
        <f t="shared" si="1"/>
        <v>2686336.3157160841</v>
      </c>
      <c r="G107" s="157">
        <f t="shared" si="1"/>
        <v>2672250.826869301</v>
      </c>
      <c r="H107" s="157">
        <f t="shared" si="1"/>
        <v>2658239.5762645472</v>
      </c>
      <c r="I107" s="157">
        <f t="shared" si="1"/>
        <v>2644302.1706091277</v>
      </c>
      <c r="J107" s="157">
        <f t="shared" si="1"/>
        <v>2630438.2187045673</v>
      </c>
      <c r="K107" s="157">
        <f t="shared" si="1"/>
        <v>2616647.3314352855</v>
      </c>
      <c r="L107" s="157">
        <f t="shared" si="2"/>
        <v>2671174.4269183795</v>
      </c>
    </row>
    <row r="108" spans="1:12" x14ac:dyDescent="0.25">
      <c r="A108" s="147" t="s">
        <v>3876</v>
      </c>
      <c r="B108" s="148">
        <f>573-'اوراق بدون ریسک'!$AD$19</f>
        <v>358</v>
      </c>
      <c r="C108" s="149">
        <f t="shared" si="1"/>
        <v>2514585.205014769</v>
      </c>
      <c r="D108" s="149">
        <f t="shared" si="1"/>
        <v>2490054.5331942593</v>
      </c>
      <c r="E108" s="149">
        <f t="shared" si="1"/>
        <v>2465763.8286968451</v>
      </c>
      <c r="F108" s="149">
        <f t="shared" si="1"/>
        <v>2441710.7376064155</v>
      </c>
      <c r="G108" s="149">
        <f t="shared" si="1"/>
        <v>2417892.9291610164</v>
      </c>
      <c r="H108" s="149">
        <f t="shared" si="1"/>
        <v>2394308.0955233001</v>
      </c>
      <c r="I108" s="149">
        <f t="shared" si="1"/>
        <v>2370953.9515559445</v>
      </c>
      <c r="J108" s="149">
        <f t="shared" si="1"/>
        <v>2347828.2345970566</v>
      </c>
      <c r="K108" s="149">
        <f t="shared" si="1"/>
        <v>2324928.7042383221</v>
      </c>
      <c r="L108" s="152">
        <f t="shared" si="2"/>
        <v>2633907.9009447019</v>
      </c>
    </row>
    <row r="109" spans="1:12" x14ac:dyDescent="0.25">
      <c r="A109" s="156" t="s">
        <v>3877</v>
      </c>
      <c r="B109" s="93">
        <f>579-'اوراق بدون ریسک'!$AD$19</f>
        <v>364</v>
      </c>
      <c r="C109" s="157">
        <f t="shared" si="1"/>
        <v>2507157.6140105943</v>
      </c>
      <c r="D109" s="157">
        <f t="shared" si="1"/>
        <v>2482291.5262643443</v>
      </c>
      <c r="E109" s="157">
        <f t="shared" si="1"/>
        <v>2457672.7321451642</v>
      </c>
      <c r="F109" s="157">
        <f t="shared" si="1"/>
        <v>2433298.7656434313</v>
      </c>
      <c r="G109" s="157">
        <f t="shared" si="1"/>
        <v>2409167.1854074057</v>
      </c>
      <c r="H109" s="157">
        <f t="shared" si="1"/>
        <v>2385275.5744948126</v>
      </c>
      <c r="I109" s="157">
        <f t="shared" si="1"/>
        <v>2361621.5401296732</v>
      </c>
      <c r="J109" s="157">
        <f t="shared" si="1"/>
        <v>2338202.7134593017</v>
      </c>
      <c r="K109" s="157">
        <f t="shared" si="1"/>
        <v>2315016.7493142863</v>
      </c>
      <c r="L109" s="157">
        <f t="shared" si="2"/>
        <v>2602929.1217575623</v>
      </c>
    </row>
    <row r="110" spans="1:12" x14ac:dyDescent="0.25">
      <c r="A110" s="150" t="s">
        <v>3878</v>
      </c>
      <c r="B110" s="151">
        <f>753-'اوراق بدون ریسک'!$AD$19</f>
        <v>538</v>
      </c>
      <c r="C110" s="152">
        <f t="shared" si="1"/>
        <v>2301043.2770985481</v>
      </c>
      <c r="D110" s="152">
        <f t="shared" si="1"/>
        <v>2267392.1984217204</v>
      </c>
      <c r="E110" s="152">
        <f t="shared" si="1"/>
        <v>2234234.1435204521</v>
      </c>
      <c r="F110" s="152">
        <f t="shared" si="1"/>
        <v>2201561.8758723144</v>
      </c>
      <c r="G110" s="152">
        <f t="shared" si="1"/>
        <v>2169368.2653656295</v>
      </c>
      <c r="H110" s="152">
        <f t="shared" si="1"/>
        <v>2137646.2867302932</v>
      </c>
      <c r="I110" s="152">
        <f t="shared" si="1"/>
        <v>2106389.0179954222</v>
      </c>
      <c r="J110" s="152">
        <f t="shared" si="1"/>
        <v>2075589.6389667303</v>
      </c>
      <c r="K110" s="152">
        <f t="shared" si="1"/>
        <v>2045241.4297270905</v>
      </c>
      <c r="L110" s="149">
        <f t="shared" si="2"/>
        <v>2302253.1421057237</v>
      </c>
    </row>
    <row r="111" spans="1:12" x14ac:dyDescent="0.25">
      <c r="A111" s="162" t="s">
        <v>3879</v>
      </c>
      <c r="B111" s="163">
        <f>757-'اوراق بدون ریسک'!$AD$19</f>
        <v>542</v>
      </c>
      <c r="C111" s="164">
        <f t="shared" si="1"/>
        <v>2296509.8233932317</v>
      </c>
      <c r="D111" s="164">
        <f t="shared" si="1"/>
        <v>2262677.190587983</v>
      </c>
      <c r="E111" s="164">
        <f t="shared" si="1"/>
        <v>2229343.8927814569</v>
      </c>
      <c r="F111" s="164">
        <f t="shared" si="1"/>
        <v>2196502.5469294088</v>
      </c>
      <c r="G111" s="164">
        <f t="shared" si="1"/>
        <v>2164145.8793496159</v>
      </c>
      <c r="H111" s="164">
        <f t="shared" si="1"/>
        <v>2132266.7240974172</v>
      </c>
      <c r="I111" s="164">
        <f t="shared" si="1"/>
        <v>2100858.0213690866</v>
      </c>
      <c r="J111" s="164">
        <f t="shared" si="1"/>
        <v>2069912.8159258838</v>
      </c>
      <c r="K111" s="164">
        <f t="shared" si="1"/>
        <v>2039424.2555422683</v>
      </c>
      <c r="L111" s="157">
        <f t="shared" si="2"/>
        <v>2292061.3259712583</v>
      </c>
    </row>
    <row r="112" spans="1:12" x14ac:dyDescent="0.25">
      <c r="A112" s="147" t="s">
        <v>3880</v>
      </c>
      <c r="B112" s="148">
        <f>774-'اوراق بدون ریسک'!$AD$19</f>
        <v>559</v>
      </c>
      <c r="C112" s="149">
        <f t="shared" si="1"/>
        <v>2277342.0768586202</v>
      </c>
      <c r="D112" s="149">
        <f t="shared" si="1"/>
        <v>2242747.545825094</v>
      </c>
      <c r="E112" s="149">
        <f t="shared" si="1"/>
        <v>2208679.4573939829</v>
      </c>
      <c r="F112" s="149">
        <f t="shared" si="1"/>
        <v>2175129.7863327446</v>
      </c>
      <c r="G112" s="149">
        <f t="shared" si="1"/>
        <v>2142090.6299628424</v>
      </c>
      <c r="H112" s="149">
        <f t="shared" si="1"/>
        <v>2109554.2062833067</v>
      </c>
      <c r="I112" s="149">
        <f t="shared" si="1"/>
        <v>2077512.8521268037</v>
      </c>
      <c r="J112" s="149">
        <f t="shared" si="1"/>
        <v>2045959.0213408507</v>
      </c>
      <c r="K112" s="149">
        <f t="shared" si="1"/>
        <v>2014885.2829976454</v>
      </c>
      <c r="L112" s="152">
        <f t="shared" si="2"/>
        <v>2015337.7691597231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2009385.5894776667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1984284.3196318282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2018-10-21T20:20:10Z</dcterms:modified>
</cp:coreProperties>
</file>