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سکه" sheetId="36" r:id="rId1"/>
    <sheet name="فروردین 97" sheetId="34" r:id="rId2"/>
    <sheet name="سارا" sheetId="20" r:id="rId3"/>
    <sheet name="مسکن مریم یاران" sheetId="13" r:id="rId4"/>
    <sheet name="مسکن علی سید الشهدا" sheetId="16" r:id="rId5"/>
    <sheet name="مسکن ایلیا" sheetId="15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لیست خرید و فروش" sheetId="32" r:id="rId33"/>
    <sheet name="اوراق بدون ریسک" sheetId="33" r:id="rId34"/>
    <sheet name="نکات" sheetId="35" r:id="rId35"/>
  </sheets>
  <calcPr calcId="145621"/>
</workbook>
</file>

<file path=xl/calcChain.xml><?xml version="1.0" encoding="utf-8"?>
<calcChain xmlns="http://schemas.openxmlformats.org/spreadsheetml/2006/main">
  <c r="G43" i="36" l="1"/>
  <c r="I56" i="32" l="1"/>
  <c r="M57" i="32"/>
  <c r="Q57" i="32" s="1"/>
  <c r="K57" i="32"/>
  <c r="S57" i="32" s="1"/>
  <c r="K56" i="32"/>
  <c r="S56" i="32" s="1"/>
  <c r="L56" i="32" l="1"/>
  <c r="P5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C6" i="36" l="1"/>
  <c r="D6" i="36"/>
  <c r="E6" i="36" s="1"/>
  <c r="F6" i="36" s="1"/>
  <c r="B6" i="36"/>
  <c r="C5" i="36"/>
  <c r="D5" i="36" s="1"/>
  <c r="E5" i="36" s="1"/>
  <c r="F5" i="36" s="1"/>
  <c r="B5" i="36"/>
  <c r="L14" i="36"/>
  <c r="L9" i="36"/>
  <c r="N8" i="18"/>
  <c r="N6" i="18"/>
  <c r="G45" i="10"/>
  <c r="D42" i="34"/>
  <c r="N25" i="18" l="1"/>
  <c r="N27" i="18" s="1"/>
  <c r="L24" i="18"/>
  <c r="L27" i="18" s="1"/>
  <c r="T22" i="36"/>
  <c r="U22" i="36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5" i="36" s="1"/>
  <c r="A19" i="36" s="1"/>
  <c r="A11" i="36"/>
  <c r="F15" i="36"/>
  <c r="F19" i="36" s="1"/>
  <c r="B12" i="36"/>
  <c r="B15" i="36" s="1"/>
  <c r="B19" i="36" s="1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A9" i="36"/>
  <c r="B8" i="36"/>
  <c r="C8" i="36"/>
  <c r="D8" i="36"/>
  <c r="E8" i="36"/>
  <c r="F8" i="36"/>
  <c r="A8" i="36"/>
  <c r="E15" i="36" l="1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S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E16" i="18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X32" i="32" l="1"/>
  <c r="AC15" i="33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L8" i="32" l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P70" i="32"/>
  <c r="AA15" i="32" s="1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1" i="20"/>
  <c r="K152" i="20"/>
  <c r="K153" i="20"/>
  <c r="K154" i="20"/>
  <c r="K155" i="20"/>
  <c r="J151" i="20"/>
  <c r="J152" i="20"/>
  <c r="J153" i="20"/>
  <c r="J154" i="20"/>
  <c r="J155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H152" i="20"/>
  <c r="H153" i="20"/>
  <c r="H154" i="20"/>
  <c r="H155" i="20"/>
  <c r="I140" i="20"/>
  <c r="D139" i="20"/>
  <c r="J150" i="20" l="1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28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<sst xmlns="http://schemas.openxmlformats.org/spreadsheetml/2006/main" count="2774" uniqueCount="1175">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</sst>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abSelected="1" topLeftCell="A10" workbookViewId="0">
      <selection activeCell="G42" sqref="G42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1111</v>
      </c>
      <c r="R1" s="11" t="s">
        <v>180</v>
      </c>
      <c r="S1" s="11" t="s">
        <v>267</v>
      </c>
      <c r="T1" s="11" t="s">
        <v>452</v>
      </c>
      <c r="U1" s="11" t="s">
        <v>754</v>
      </c>
      <c r="V1" s="11" t="s">
        <v>280</v>
      </c>
      <c r="W1" s="11" t="s">
        <v>1127</v>
      </c>
      <c r="X1" s="11" t="s">
        <v>35</v>
      </c>
      <c r="Y1" s="11" t="s">
        <v>37</v>
      </c>
      <c r="Z1" s="11" t="s">
        <v>484</v>
      </c>
      <c r="AH1" s="100" t="s">
        <v>1139</v>
      </c>
      <c r="AI1" s="100"/>
      <c r="AJ1" s="100"/>
      <c r="AK1" s="10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1111</v>
      </c>
      <c r="R2" s="11" t="s">
        <v>1126</v>
      </c>
      <c r="S2" s="86">
        <v>168000000</v>
      </c>
      <c r="T2" s="86">
        <v>91000000</v>
      </c>
      <c r="U2" s="86">
        <v>77000000</v>
      </c>
      <c r="V2" s="11">
        <v>4</v>
      </c>
      <c r="W2" s="11">
        <f>W3+V2</f>
        <v>4</v>
      </c>
      <c r="X2" s="86">
        <f>S2*W2</f>
        <v>672000000</v>
      </c>
      <c r="Y2" s="86">
        <f>T2*W2</f>
        <v>364000000</v>
      </c>
      <c r="Z2" s="86">
        <f>U2*W2</f>
        <v>308000000</v>
      </c>
      <c r="AH2" s="100"/>
      <c r="AI2" s="100"/>
      <c r="AJ2" s="100"/>
      <c r="AK2" s="10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1112</v>
      </c>
      <c r="R3" s="11" t="s">
        <v>1128</v>
      </c>
      <c r="S3" s="86">
        <v>0</v>
      </c>
      <c r="T3" s="86">
        <v>0</v>
      </c>
      <c r="U3" s="86">
        <v>0</v>
      </c>
      <c r="V3" s="11">
        <v>0</v>
      </c>
      <c r="W3" s="11">
        <f t="shared" ref="W3:W9" si="0">W4+V3</f>
        <v>0</v>
      </c>
      <c r="X3" s="86"/>
      <c r="Y3" s="86"/>
      <c r="Z3" s="86"/>
      <c r="AH3" s="101" t="s">
        <v>1140</v>
      </c>
      <c r="AI3" s="102" t="s">
        <v>1141</v>
      </c>
      <c r="AJ3" s="101" t="s">
        <v>1142</v>
      </c>
      <c r="AK3" s="103" t="s">
        <v>1143</v>
      </c>
    </row>
    <row r="4" spans="1:37" x14ac:dyDescent="0.25">
      <c r="R4" s="11"/>
      <c r="S4" s="86"/>
      <c r="T4" s="86"/>
      <c r="U4" s="86"/>
      <c r="V4" s="11"/>
      <c r="W4" s="11">
        <f t="shared" si="0"/>
        <v>0</v>
      </c>
      <c r="X4" s="86"/>
      <c r="Y4" s="86"/>
      <c r="Z4" s="86"/>
      <c r="AH4" s="101"/>
      <c r="AI4" s="102"/>
      <c r="AJ4" s="101"/>
      <c r="AK4" s="10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1113</v>
      </c>
      <c r="R5" s="11"/>
      <c r="S5" s="86"/>
      <c r="T5" s="86"/>
      <c r="U5" s="86"/>
      <c r="V5" s="11"/>
      <c r="W5" s="11">
        <f t="shared" si="0"/>
        <v>0</v>
      </c>
      <c r="X5" s="86"/>
      <c r="Y5" s="86"/>
      <c r="Z5" s="86"/>
      <c r="AH5" s="98" t="s">
        <v>1144</v>
      </c>
      <c r="AI5" s="98" t="s">
        <v>1145</v>
      </c>
      <c r="AJ5" s="98" t="s">
        <v>1146</v>
      </c>
      <c r="AK5" s="98" t="s">
        <v>1147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1114</v>
      </c>
      <c r="R6" s="11"/>
      <c r="S6" s="86"/>
      <c r="T6" s="86"/>
      <c r="U6" s="86"/>
      <c r="V6" s="11"/>
      <c r="W6" s="11">
        <f t="shared" si="0"/>
        <v>0</v>
      </c>
      <c r="X6" s="86"/>
      <c r="Y6" s="86"/>
      <c r="Z6" s="86"/>
      <c r="AH6" s="99" t="s">
        <v>1148</v>
      </c>
      <c r="AI6" s="99" t="s">
        <v>1149</v>
      </c>
      <c r="AJ6" s="99" t="s">
        <v>1150</v>
      </c>
      <c r="AK6" s="99" t="s">
        <v>1151</v>
      </c>
    </row>
    <row r="7" spans="1:37" x14ac:dyDescent="0.25">
      <c r="R7" s="11"/>
      <c r="S7" s="86"/>
      <c r="T7" s="86"/>
      <c r="U7" s="86"/>
      <c r="V7" s="11"/>
      <c r="W7" s="11">
        <f t="shared" si="0"/>
        <v>0</v>
      </c>
      <c r="X7" s="86"/>
      <c r="Y7" s="86"/>
      <c r="Z7" s="86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1115</v>
      </c>
      <c r="R8" s="11"/>
      <c r="S8" s="86"/>
      <c r="T8" s="86"/>
      <c r="U8" s="86"/>
      <c r="V8" s="11"/>
      <c r="W8" s="11">
        <f t="shared" si="0"/>
        <v>0</v>
      </c>
      <c r="X8" s="86"/>
      <c r="Y8" s="86"/>
      <c r="Z8" s="86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1116</v>
      </c>
      <c r="J9">
        <v>232</v>
      </c>
      <c r="K9">
        <v>2.12</v>
      </c>
      <c r="L9">
        <f>$J$9/K9</f>
        <v>109.43396226415094</v>
      </c>
      <c r="O9" t="s">
        <v>1123</v>
      </c>
      <c r="P9">
        <v>5</v>
      </c>
      <c r="R9" s="11"/>
      <c r="S9" s="86"/>
      <c r="T9" s="86"/>
      <c r="U9" s="86"/>
      <c r="V9" s="11"/>
      <c r="W9" s="11">
        <f t="shared" si="0"/>
        <v>0</v>
      </c>
      <c r="X9" s="86"/>
      <c r="Y9" s="86"/>
      <c r="Z9" s="86"/>
    </row>
    <row r="10" spans="1:37" x14ac:dyDescent="0.25">
      <c r="K10">
        <v>2.02</v>
      </c>
      <c r="L10">
        <f t="shared" ref="L10:L13" si="5">$J$9/K10</f>
        <v>114.85148514851485</v>
      </c>
      <c r="O10" t="s">
        <v>1124</v>
      </c>
      <c r="P10">
        <v>20</v>
      </c>
      <c r="R10" s="11"/>
      <c r="S10" s="86"/>
      <c r="T10" s="86"/>
      <c r="U10" s="86"/>
      <c r="V10" s="11"/>
      <c r="W10" s="11"/>
      <c r="X10" s="86"/>
      <c r="Y10" s="86"/>
      <c r="Z10" s="86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1117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6"/>
      <c r="T11" s="86"/>
      <c r="U11" s="86"/>
      <c r="V11" s="11"/>
      <c r="W11" s="11"/>
      <c r="X11" s="86"/>
      <c r="Y11" s="86"/>
      <c r="Z11" s="86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1118</v>
      </c>
      <c r="K12">
        <v>1.82</v>
      </c>
      <c r="L12">
        <f t="shared" si="5"/>
        <v>127.47252747252747</v>
      </c>
      <c r="O12" t="s">
        <v>754</v>
      </c>
      <c r="P12">
        <v>27</v>
      </c>
      <c r="R12" s="11"/>
      <c r="S12" s="86"/>
      <c r="T12" s="86"/>
      <c r="U12" s="86"/>
      <c r="V12" s="11"/>
      <c r="W12" s="11"/>
      <c r="X12" s="86"/>
      <c r="Y12" s="86"/>
      <c r="Z12" s="86"/>
    </row>
    <row r="13" spans="1:37" x14ac:dyDescent="0.25">
      <c r="K13">
        <v>1.72</v>
      </c>
      <c r="L13">
        <f t="shared" si="5"/>
        <v>134.88372093023256</v>
      </c>
      <c r="O13" t="s">
        <v>1136</v>
      </c>
      <c r="P13">
        <v>7.5</v>
      </c>
      <c r="R13" s="11"/>
      <c r="S13" s="86"/>
      <c r="T13" s="86"/>
      <c r="U13" s="86"/>
      <c r="V13" s="11"/>
      <c r="W13" s="11"/>
      <c r="X13" s="86"/>
      <c r="Y13" s="86"/>
      <c r="Z13" s="86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1119</v>
      </c>
      <c r="K14">
        <v>1.62</v>
      </c>
      <c r="L14">
        <f>$J$9/K14</f>
        <v>143.20987654320987</v>
      </c>
      <c r="O14" t="s">
        <v>1137</v>
      </c>
      <c r="P14">
        <v>6</v>
      </c>
      <c r="R14" s="11"/>
      <c r="S14" s="86"/>
      <c r="T14" s="86"/>
      <c r="U14" s="86"/>
      <c r="V14" s="11"/>
      <c r="W14" s="11"/>
      <c r="X14" s="86"/>
      <c r="Y14" s="86"/>
      <c r="Z14" s="86"/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1120</v>
      </c>
      <c r="O15" t="s">
        <v>1125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0.37037037037037035</v>
      </c>
      <c r="B17">
        <f t="shared" ref="B17:F17" si="10">B14/B8</f>
        <v>0.34883720930232559</v>
      </c>
      <c r="C17">
        <f t="shared" si="10"/>
        <v>0.32967032967032966</v>
      </c>
      <c r="D17">
        <f t="shared" si="10"/>
        <v>0.3125</v>
      </c>
      <c r="E17">
        <f t="shared" si="10"/>
        <v>0.29702970297029702</v>
      </c>
      <c r="F17">
        <f t="shared" si="10"/>
        <v>0.28301886792452829</v>
      </c>
      <c r="G17" t="s">
        <v>1156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0.55555555555555558</v>
      </c>
      <c r="B18">
        <f t="shared" ref="B18:F18" si="11">B14/B8*12/8</f>
        <v>0.52325581395348841</v>
      </c>
      <c r="C18">
        <f t="shared" si="11"/>
        <v>0.49450549450549453</v>
      </c>
      <c r="D18">
        <f t="shared" si="11"/>
        <v>0.46875</v>
      </c>
      <c r="E18">
        <f t="shared" si="11"/>
        <v>0.4455445544554455</v>
      </c>
      <c r="F18">
        <f t="shared" si="11"/>
        <v>0.42452830188679247</v>
      </c>
      <c r="G18" t="s">
        <v>1121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0.41616541353383457</v>
      </c>
      <c r="B19">
        <f t="shared" ref="B19:F19" si="12">B15/B9*12/14</f>
        <v>0.39047619047619048</v>
      </c>
      <c r="C19">
        <f t="shared" si="12"/>
        <v>0.3677740863787376</v>
      </c>
      <c r="D19">
        <f t="shared" si="12"/>
        <v>0.34756671899529046</v>
      </c>
      <c r="E19">
        <f t="shared" si="12"/>
        <v>0.32946428571428577</v>
      </c>
      <c r="F19">
        <f t="shared" si="12"/>
        <v>0.31315417256011319</v>
      </c>
      <c r="G19" t="s">
        <v>1122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199.79999999999998</v>
      </c>
      <c r="B21">
        <f t="shared" ref="B21:F21" si="13">B11*0.09</f>
        <v>208.79999999999998</v>
      </c>
      <c r="C21">
        <f t="shared" si="13"/>
        <v>217.79999999999998</v>
      </c>
      <c r="D21">
        <f t="shared" si="13"/>
        <v>226.79999999999998</v>
      </c>
      <c r="E21">
        <f t="shared" si="13"/>
        <v>235.79999999999998</v>
      </c>
      <c r="F21">
        <f t="shared" si="13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>(A11+A21)*A9/A8</f>
        <v>2270.4296296296297</v>
      </c>
      <c r="B22">
        <f t="shared" ref="B22:F22" si="14">(B11+B21)*B9/B8</f>
        <v>2381.7767441860469</v>
      </c>
      <c r="C22">
        <f t="shared" si="14"/>
        <v>2492.8659340659342</v>
      </c>
      <c r="D22">
        <f t="shared" si="14"/>
        <v>2603.7375000000002</v>
      </c>
      <c r="E22">
        <f t="shared" si="14"/>
        <v>2714.4237623762378</v>
      </c>
      <c r="F22">
        <f t="shared" si="14"/>
        <v>2824.9509433962262</v>
      </c>
      <c r="R22" s="11" t="s">
        <v>6</v>
      </c>
      <c r="S22" s="29">
        <f>SUM(S2:S19)</f>
        <v>168000000</v>
      </c>
      <c r="T22" s="29">
        <f t="shared" ref="T22:Z22" si="15">SUM(T2:T19)</f>
        <v>91000000</v>
      </c>
      <c r="U22" s="29">
        <f t="shared" si="15"/>
        <v>77000000</v>
      </c>
      <c r="V22" s="29"/>
      <c r="W22" s="29"/>
      <c r="X22" s="29">
        <f t="shared" si="15"/>
        <v>672000000</v>
      </c>
      <c r="Y22" s="29">
        <f t="shared" si="15"/>
        <v>364000000</v>
      </c>
      <c r="Z22" s="29">
        <f t="shared" si="15"/>
        <v>308000000</v>
      </c>
    </row>
    <row r="28" spans="1:26" x14ac:dyDescent="0.25">
      <c r="E28" t="s">
        <v>25</v>
      </c>
    </row>
    <row r="36" spans="6:7" x14ac:dyDescent="0.25">
      <c r="F36" t="s">
        <v>1168</v>
      </c>
      <c r="G36">
        <v>10</v>
      </c>
    </row>
    <row r="37" spans="6:7" x14ac:dyDescent="0.25">
      <c r="F37" t="s">
        <v>1167</v>
      </c>
      <c r="G37">
        <v>9</v>
      </c>
    </row>
    <row r="38" spans="6:7" x14ac:dyDescent="0.25">
      <c r="F38" t="s">
        <v>1169</v>
      </c>
      <c r="G38">
        <v>31.1</v>
      </c>
    </row>
    <row r="39" spans="6:7" x14ac:dyDescent="0.25">
      <c r="F39" t="s">
        <v>1170</v>
      </c>
      <c r="G39">
        <v>8.1329999999999991</v>
      </c>
    </row>
    <row r="40" spans="6:7" x14ac:dyDescent="0.25">
      <c r="F40" t="s">
        <v>1171</v>
      </c>
      <c r="G40">
        <v>1333</v>
      </c>
    </row>
    <row r="41" spans="6:7" x14ac:dyDescent="0.25">
      <c r="F41" t="s">
        <v>1172</v>
      </c>
      <c r="G41">
        <v>5200</v>
      </c>
    </row>
    <row r="42" spans="6:7" x14ac:dyDescent="0.25">
      <c r="F42" t="s">
        <v>1174</v>
      </c>
      <c r="G42">
        <v>5000</v>
      </c>
    </row>
    <row r="43" spans="6:7" x14ac:dyDescent="0.25">
      <c r="F43" t="s">
        <v>1173</v>
      </c>
      <c r="G43" s="29">
        <f>G41*G39*G37*G40/(G36*G38)+G42</f>
        <v>1636422.2675241155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C30" sqref="C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1068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1107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1108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1126</v>
      </c>
      <c r="B4" s="18">
        <v>-52000000</v>
      </c>
      <c r="C4" s="18">
        <v>0</v>
      </c>
      <c r="D4" s="3">
        <f t="shared" si="0"/>
        <v>-52000000</v>
      </c>
      <c r="E4" s="11" t="s">
        <v>1130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958</v>
      </c>
      <c r="B5" s="18">
        <v>0</v>
      </c>
      <c r="C5" s="18">
        <v>0</v>
      </c>
      <c r="D5" s="3">
        <f t="shared" si="0"/>
        <v>0</v>
      </c>
      <c r="E5" s="20" t="s">
        <v>1043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1068</v>
      </c>
      <c r="B6" s="18">
        <v>0</v>
      </c>
      <c r="C6" s="18">
        <v>0</v>
      </c>
      <c r="D6" s="3">
        <f t="shared" si="0"/>
        <v>0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8810423</v>
      </c>
      <c r="C24" s="3">
        <f>SUM(C2:C22)</f>
        <v>7551324</v>
      </c>
      <c r="D24" s="3">
        <f>SUM(D2:D22)</f>
        <v>1259099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573512690</v>
      </c>
      <c r="H25" s="18">
        <f>SUM(H2:H23)</f>
        <v>226539720</v>
      </c>
      <c r="I25" s="18">
        <f>SUM(I2:I23)</f>
        <v>346972970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157126.76438356165</v>
      </c>
      <c r="H30" s="18">
        <f>G30*H25/G25</f>
        <v>62065.676712328772</v>
      </c>
      <c r="I30" s="18">
        <f>G30*I25/G25</f>
        <v>95061.087671232875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1110</v>
      </c>
      <c r="G31" s="9" t="s">
        <v>1071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1109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1152</v>
      </c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721</v>
      </c>
      <c r="B5" s="18">
        <v>-1000000</v>
      </c>
      <c r="C5" s="18">
        <v>-1000000</v>
      </c>
      <c r="D5" s="3">
        <f t="shared" si="0"/>
        <v>0</v>
      </c>
      <c r="E5" s="20" t="s">
        <v>742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725</v>
      </c>
      <c r="B6" s="18">
        <v>-50000000</v>
      </c>
      <c r="C6" s="18">
        <v>0</v>
      </c>
      <c r="D6" s="3">
        <f t="shared" si="0"/>
        <v>-50000000</v>
      </c>
      <c r="E6" s="19" t="s">
        <v>726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727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750</v>
      </c>
      <c r="B4" s="18">
        <v>-1210700</v>
      </c>
      <c r="C4" s="18">
        <v>0</v>
      </c>
      <c r="D4" s="3">
        <f t="shared" si="0"/>
        <v>-1210700</v>
      </c>
      <c r="E4" s="11" t="s">
        <v>751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-97300</v>
      </c>
      <c r="C5" s="18">
        <v>0</v>
      </c>
      <c r="D5" s="3">
        <f t="shared" si="0"/>
        <v>-97300</v>
      </c>
      <c r="E5" s="20" t="s">
        <v>772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-1000000</v>
      </c>
      <c r="C6" s="18">
        <v>-1000000</v>
      </c>
      <c r="D6" s="3">
        <f t="shared" si="0"/>
        <v>0</v>
      </c>
      <c r="E6" s="19" t="s">
        <v>779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752</v>
      </c>
      <c r="G31" s="9" t="s">
        <v>782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783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806</v>
      </c>
      <c r="B4" s="18">
        <v>-1000500</v>
      </c>
      <c r="C4" s="18">
        <v>-1000500</v>
      </c>
      <c r="D4" s="3">
        <f t="shared" si="0"/>
        <v>0</v>
      </c>
      <c r="E4" s="11" t="s">
        <v>807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827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800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4" activePane="bottomLeft" state="frozen"/>
      <selection pane="bottomLeft" activeCell="G162" sqref="G16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725</v>
      </c>
      <c r="H2" s="36">
        <f>IF(B2&gt;0,1,0)</f>
        <v>1</v>
      </c>
      <c r="I2" s="11">
        <f>B2*(G2-H2)</f>
        <v>12090800</v>
      </c>
      <c r="J2" s="53">
        <f>C2*(G2-H2)</f>
        <v>12090800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724</v>
      </c>
      <c r="H3" s="36">
        <f t="shared" ref="H3:H66" si="2">IF(B3&gt;0,1,0)</f>
        <v>1</v>
      </c>
      <c r="I3" s="11">
        <f t="shared" ref="I3:I66" si="3">B3*(G3-H3)</f>
        <v>14387700000</v>
      </c>
      <c r="J3" s="53">
        <f t="shared" ref="J3:J66" si="4">C3*(G3-H3)</f>
        <v>8232801000</v>
      </c>
      <c r="K3" s="53">
        <f t="shared" ref="K3:K66" si="5">D3*(G3-H3)</f>
        <v>6154899000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724</v>
      </c>
      <c r="H4" s="36">
        <f t="shared" si="2"/>
        <v>0</v>
      </c>
      <c r="I4" s="11">
        <f t="shared" si="3"/>
        <v>0</v>
      </c>
      <c r="J4" s="53">
        <f t="shared" si="4"/>
        <v>6154000</v>
      </c>
      <c r="K4" s="53">
        <f t="shared" si="5"/>
        <v>-6154000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722</v>
      </c>
      <c r="H5" s="36">
        <f t="shared" si="2"/>
        <v>1</v>
      </c>
      <c r="I5" s="11">
        <f t="shared" si="3"/>
        <v>1442000000</v>
      </c>
      <c r="J5" s="53">
        <f t="shared" si="4"/>
        <v>0</v>
      </c>
      <c r="K5" s="53">
        <f t="shared" si="5"/>
        <v>1442000000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715</v>
      </c>
      <c r="H6" s="36">
        <f t="shared" si="2"/>
        <v>0</v>
      </c>
      <c r="I6" s="11">
        <f t="shared" si="3"/>
        <v>-3575000</v>
      </c>
      <c r="J6" s="53">
        <f t="shared" si="4"/>
        <v>0</v>
      </c>
      <c r="K6" s="53">
        <f t="shared" si="5"/>
        <v>-3575000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711</v>
      </c>
      <c r="H7" s="36">
        <f t="shared" si="2"/>
        <v>0</v>
      </c>
      <c r="I7" s="11">
        <f t="shared" si="3"/>
        <v>-853555500</v>
      </c>
      <c r="J7" s="53">
        <f t="shared" si="4"/>
        <v>0</v>
      </c>
      <c r="K7" s="53">
        <f t="shared" si="5"/>
        <v>-853555500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710</v>
      </c>
      <c r="H8" s="36">
        <f t="shared" si="2"/>
        <v>0</v>
      </c>
      <c r="I8" s="11">
        <f t="shared" si="3"/>
        <v>-142000000</v>
      </c>
      <c r="J8" s="53">
        <f t="shared" si="4"/>
        <v>0</v>
      </c>
      <c r="K8" s="53">
        <f t="shared" si="5"/>
        <v>-142000000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708</v>
      </c>
      <c r="H9" s="36">
        <f t="shared" si="2"/>
        <v>0</v>
      </c>
      <c r="I9" s="11">
        <f t="shared" si="3"/>
        <v>-499494000</v>
      </c>
      <c r="J9" s="53">
        <f t="shared" si="4"/>
        <v>0</v>
      </c>
      <c r="K9" s="53">
        <f t="shared" si="5"/>
        <v>-499494000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699</v>
      </c>
      <c r="H10" s="36">
        <f t="shared" si="2"/>
        <v>0</v>
      </c>
      <c r="I10" s="11">
        <f t="shared" si="3"/>
        <v>-139800000</v>
      </c>
      <c r="J10" s="53">
        <f t="shared" si="4"/>
        <v>0</v>
      </c>
      <c r="K10" s="53">
        <f t="shared" si="5"/>
        <v>-139800000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699</v>
      </c>
      <c r="H11" s="36">
        <f t="shared" si="2"/>
        <v>1</v>
      </c>
      <c r="I11" s="11">
        <f t="shared" si="3"/>
        <v>698000000</v>
      </c>
      <c r="J11" s="53">
        <f t="shared" si="4"/>
        <v>0</v>
      </c>
      <c r="K11" s="53">
        <f t="shared" si="5"/>
        <v>698000000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695</v>
      </c>
      <c r="H12" s="36">
        <f t="shared" si="2"/>
        <v>0</v>
      </c>
      <c r="I12" s="11">
        <f t="shared" si="3"/>
        <v>-208500000</v>
      </c>
      <c r="J12" s="53">
        <f t="shared" si="4"/>
        <v>0</v>
      </c>
      <c r="K12" s="53">
        <f t="shared" si="5"/>
        <v>-208500000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690</v>
      </c>
      <c r="H13" s="36">
        <f t="shared" si="2"/>
        <v>0</v>
      </c>
      <c r="I13" s="11">
        <f t="shared" si="3"/>
        <v>-42780000</v>
      </c>
      <c r="J13" s="53">
        <f t="shared" si="4"/>
        <v>0</v>
      </c>
      <c r="K13" s="53">
        <f t="shared" si="5"/>
        <v>-42780000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690</v>
      </c>
      <c r="H14" s="36">
        <f t="shared" si="2"/>
        <v>1</v>
      </c>
      <c r="I14" s="11">
        <f t="shared" si="3"/>
        <v>1378000000</v>
      </c>
      <c r="J14" s="53">
        <f t="shared" si="4"/>
        <v>0</v>
      </c>
      <c r="K14" s="53">
        <f t="shared" si="5"/>
        <v>1378000000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689</v>
      </c>
      <c r="H15" s="36">
        <f t="shared" si="2"/>
        <v>1</v>
      </c>
      <c r="I15" s="11">
        <f t="shared" si="3"/>
        <v>1238400000</v>
      </c>
      <c r="J15" s="53">
        <f t="shared" si="4"/>
        <v>0</v>
      </c>
      <c r="K15" s="53">
        <f t="shared" si="5"/>
        <v>1238400000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689</v>
      </c>
      <c r="H16" s="36">
        <f t="shared" si="2"/>
        <v>0</v>
      </c>
      <c r="I16" s="11">
        <f t="shared" si="3"/>
        <v>-137800000</v>
      </c>
      <c r="J16" s="53">
        <f t="shared" si="4"/>
        <v>0</v>
      </c>
      <c r="K16" s="53">
        <f t="shared" si="5"/>
        <v>-137800000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685</v>
      </c>
      <c r="H17" s="36">
        <f t="shared" si="2"/>
        <v>0</v>
      </c>
      <c r="I17" s="11">
        <f t="shared" si="3"/>
        <v>-1370000000</v>
      </c>
      <c r="J17" s="53">
        <f t="shared" si="4"/>
        <v>0</v>
      </c>
      <c r="K17" s="53">
        <f t="shared" si="5"/>
        <v>-1370000000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684</v>
      </c>
      <c r="H18" s="36">
        <f t="shared" si="2"/>
        <v>0</v>
      </c>
      <c r="I18" s="11">
        <f t="shared" si="3"/>
        <v>-205200000</v>
      </c>
      <c r="J18" s="53">
        <f t="shared" si="4"/>
        <v>0</v>
      </c>
      <c r="K18" s="53">
        <f t="shared" si="5"/>
        <v>-205200000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683</v>
      </c>
      <c r="H19" s="36">
        <f t="shared" si="2"/>
        <v>0</v>
      </c>
      <c r="I19" s="11">
        <f t="shared" si="3"/>
        <v>-136600000</v>
      </c>
      <c r="J19" s="53">
        <f t="shared" si="4"/>
        <v>0</v>
      </c>
      <c r="K19" s="53">
        <f t="shared" si="5"/>
        <v>-136600000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681</v>
      </c>
      <c r="H20" s="36">
        <f t="shared" si="2"/>
        <v>1</v>
      </c>
      <c r="I20" s="11">
        <f t="shared" si="3"/>
        <v>184340520</v>
      </c>
      <c r="J20" s="53">
        <f t="shared" si="4"/>
        <v>100267360</v>
      </c>
      <c r="K20" s="53">
        <f t="shared" si="5"/>
        <v>84073160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679</v>
      </c>
      <c r="H21" s="36">
        <f t="shared" si="2"/>
        <v>0</v>
      </c>
      <c r="I21" s="11">
        <f t="shared" si="3"/>
        <v>-1022370300</v>
      </c>
      <c r="J21" s="53">
        <f t="shared" si="4"/>
        <v>0</v>
      </c>
      <c r="K21" s="53">
        <f t="shared" si="5"/>
        <v>-1022370300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676</v>
      </c>
      <c r="H22" s="36">
        <f t="shared" si="2"/>
        <v>1</v>
      </c>
      <c r="I22" s="11">
        <f t="shared" si="3"/>
        <v>2025000000</v>
      </c>
      <c r="J22" s="53">
        <f t="shared" si="4"/>
        <v>0</v>
      </c>
      <c r="K22" s="53">
        <f t="shared" si="5"/>
        <v>2025000000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675</v>
      </c>
      <c r="H23" s="36">
        <f t="shared" si="2"/>
        <v>1</v>
      </c>
      <c r="I23" s="11">
        <f t="shared" si="3"/>
        <v>674000000</v>
      </c>
      <c r="J23" s="53">
        <f t="shared" si="4"/>
        <v>0</v>
      </c>
      <c r="K23" s="53">
        <f t="shared" si="5"/>
        <v>674000000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674</v>
      </c>
      <c r="H24" s="36">
        <f t="shared" si="2"/>
        <v>0</v>
      </c>
      <c r="I24" s="11">
        <f t="shared" si="3"/>
        <v>-2022606600</v>
      </c>
      <c r="J24" s="53">
        <f t="shared" si="4"/>
        <v>0</v>
      </c>
      <c r="K24" s="53">
        <f t="shared" si="5"/>
        <v>-2022606600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659</v>
      </c>
      <c r="H25" s="36">
        <f t="shared" si="2"/>
        <v>1</v>
      </c>
      <c r="I25" s="11">
        <f t="shared" si="3"/>
        <v>987000000</v>
      </c>
      <c r="J25" s="53">
        <f t="shared" si="4"/>
        <v>0</v>
      </c>
      <c r="K25" s="53">
        <f t="shared" si="5"/>
        <v>987000000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651</v>
      </c>
      <c r="H26" s="36">
        <f t="shared" si="2"/>
        <v>0</v>
      </c>
      <c r="I26" s="11">
        <f t="shared" si="3"/>
        <v>-106764000</v>
      </c>
      <c r="J26" s="53">
        <f t="shared" si="4"/>
        <v>0</v>
      </c>
      <c r="K26" s="53">
        <f t="shared" si="5"/>
        <v>-106764000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650</v>
      </c>
      <c r="H27" s="36">
        <f t="shared" si="2"/>
        <v>1</v>
      </c>
      <c r="I27" s="11">
        <f t="shared" si="3"/>
        <v>129406057</v>
      </c>
      <c r="J27" s="53">
        <f t="shared" si="4"/>
        <v>69711037</v>
      </c>
      <c r="K27" s="53">
        <f t="shared" si="5"/>
        <v>59695020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648</v>
      </c>
      <c r="H28" s="36">
        <f t="shared" si="2"/>
        <v>0</v>
      </c>
      <c r="I28" s="11">
        <f t="shared" si="3"/>
        <v>-143208000</v>
      </c>
      <c r="J28" s="53">
        <f t="shared" si="4"/>
        <v>-143208000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648</v>
      </c>
      <c r="H29" s="36">
        <f t="shared" si="2"/>
        <v>0</v>
      </c>
      <c r="I29" s="11">
        <f t="shared" si="3"/>
        <v>-324324000</v>
      </c>
      <c r="J29" s="53">
        <f t="shared" si="4"/>
        <v>0</v>
      </c>
      <c r="K29" s="53">
        <f t="shared" si="5"/>
        <v>-324324000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648</v>
      </c>
      <c r="H30" s="36">
        <f t="shared" si="2"/>
        <v>0</v>
      </c>
      <c r="I30" s="11">
        <f t="shared" si="3"/>
        <v>-9720000000</v>
      </c>
      <c r="J30" s="53">
        <f t="shared" si="4"/>
        <v>-9720000000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631</v>
      </c>
      <c r="H31" s="36">
        <f t="shared" si="2"/>
        <v>0</v>
      </c>
      <c r="I31" s="11">
        <f t="shared" si="3"/>
        <v>-1899877900</v>
      </c>
      <c r="J31" s="53">
        <f t="shared" si="4"/>
        <v>0</v>
      </c>
      <c r="K31" s="53">
        <f t="shared" si="5"/>
        <v>-1899877900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629</v>
      </c>
      <c r="H32" s="36">
        <f t="shared" si="2"/>
        <v>0</v>
      </c>
      <c r="I32" s="11">
        <f t="shared" si="3"/>
        <v>-1890711100</v>
      </c>
      <c r="J32" s="53">
        <f t="shared" si="4"/>
        <v>0</v>
      </c>
      <c r="K32" s="53">
        <f t="shared" si="5"/>
        <v>-1890711100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628</v>
      </c>
      <c r="H33" s="36">
        <f t="shared" si="2"/>
        <v>0</v>
      </c>
      <c r="I33" s="11">
        <f t="shared" si="3"/>
        <v>-562374000</v>
      </c>
      <c r="J33" s="53">
        <f t="shared" si="4"/>
        <v>0</v>
      </c>
      <c r="K33" s="53">
        <f t="shared" si="5"/>
        <v>-562374000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628</v>
      </c>
      <c r="H34" s="36">
        <f t="shared" si="2"/>
        <v>0</v>
      </c>
      <c r="I34" s="11">
        <f t="shared" si="3"/>
        <v>0</v>
      </c>
      <c r="J34" s="53">
        <f t="shared" si="4"/>
        <v>628000000</v>
      </c>
      <c r="K34" s="53">
        <f t="shared" si="5"/>
        <v>-628000000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619</v>
      </c>
      <c r="H35" s="36">
        <f t="shared" si="2"/>
        <v>1</v>
      </c>
      <c r="I35" s="11">
        <f t="shared" si="3"/>
        <v>32427696</v>
      </c>
      <c r="J35" s="53">
        <f t="shared" si="4"/>
        <v>-13387734</v>
      </c>
      <c r="K35" s="53">
        <f t="shared" si="5"/>
        <v>45815430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619</v>
      </c>
      <c r="H36" s="36">
        <f t="shared" si="2"/>
        <v>0</v>
      </c>
      <c r="I36" s="11">
        <f t="shared" si="3"/>
        <v>0</v>
      </c>
      <c r="J36" s="53">
        <f t="shared" si="4"/>
        <v>13409397</v>
      </c>
      <c r="K36" s="53">
        <f t="shared" si="5"/>
        <v>-13409397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609</v>
      </c>
      <c r="H37" s="36">
        <f t="shared" si="2"/>
        <v>0</v>
      </c>
      <c r="I37" s="11">
        <f t="shared" si="3"/>
        <v>-33495000</v>
      </c>
      <c r="J37" s="53">
        <f t="shared" si="4"/>
        <v>0</v>
      </c>
      <c r="K37" s="53">
        <f t="shared" si="5"/>
        <v>-33495000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608</v>
      </c>
      <c r="H38" s="36">
        <f t="shared" si="2"/>
        <v>1</v>
      </c>
      <c r="I38" s="11">
        <f t="shared" si="3"/>
        <v>1821000000</v>
      </c>
      <c r="J38" s="53">
        <f t="shared" si="4"/>
        <v>1821000000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607</v>
      </c>
      <c r="H39" s="36">
        <f t="shared" si="2"/>
        <v>1</v>
      </c>
      <c r="I39" s="11">
        <f t="shared" si="3"/>
        <v>1515000000</v>
      </c>
      <c r="J39" s="53">
        <f t="shared" si="4"/>
        <v>1515000000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607</v>
      </c>
      <c r="H40" s="36">
        <f t="shared" si="2"/>
        <v>0</v>
      </c>
      <c r="I40" s="11">
        <f t="shared" si="3"/>
        <v>-30350000</v>
      </c>
      <c r="J40" s="53">
        <f t="shared" si="4"/>
        <v>0</v>
      </c>
      <c r="K40" s="53">
        <f t="shared" si="5"/>
        <v>-30350000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607</v>
      </c>
      <c r="H41" s="36">
        <f t="shared" si="2"/>
        <v>1</v>
      </c>
      <c r="I41" s="11">
        <f t="shared" si="3"/>
        <v>1818000000</v>
      </c>
      <c r="J41" s="53">
        <f t="shared" si="4"/>
        <v>0</v>
      </c>
      <c r="K41" s="53">
        <f t="shared" si="5"/>
        <v>1818000000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604</v>
      </c>
      <c r="H42" s="36">
        <f t="shared" si="2"/>
        <v>0</v>
      </c>
      <c r="I42" s="11">
        <f t="shared" si="3"/>
        <v>-53876800</v>
      </c>
      <c r="J42" s="53">
        <f t="shared" si="4"/>
        <v>0</v>
      </c>
      <c r="K42" s="53">
        <f t="shared" si="5"/>
        <v>-53876800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600</v>
      </c>
      <c r="H43" s="36">
        <f t="shared" si="2"/>
        <v>0</v>
      </c>
      <c r="I43" s="11">
        <f t="shared" si="3"/>
        <v>-120000000</v>
      </c>
      <c r="J43" s="53">
        <f t="shared" si="4"/>
        <v>0</v>
      </c>
      <c r="K43" s="53">
        <f t="shared" si="5"/>
        <v>-120000000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598</v>
      </c>
      <c r="H44" s="36">
        <f t="shared" si="2"/>
        <v>0</v>
      </c>
      <c r="I44" s="11">
        <f t="shared" si="3"/>
        <v>-119600000</v>
      </c>
      <c r="J44" s="53">
        <f t="shared" si="4"/>
        <v>0</v>
      </c>
      <c r="K44" s="53">
        <f t="shared" si="5"/>
        <v>-119600000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598</v>
      </c>
      <c r="H45" s="36">
        <f t="shared" si="2"/>
        <v>0</v>
      </c>
      <c r="I45" s="11">
        <f t="shared" si="3"/>
        <v>-334880000</v>
      </c>
      <c r="J45" s="53">
        <f t="shared" si="4"/>
        <v>0</v>
      </c>
      <c r="K45" s="53">
        <f t="shared" si="5"/>
        <v>-334880000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594</v>
      </c>
      <c r="H46" s="36">
        <f t="shared" si="2"/>
        <v>0</v>
      </c>
      <c r="I46" s="11">
        <f t="shared" si="3"/>
        <v>-419067000</v>
      </c>
      <c r="J46" s="53">
        <f t="shared" si="4"/>
        <v>0</v>
      </c>
      <c r="K46" s="53">
        <f t="shared" si="5"/>
        <v>-419067000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588</v>
      </c>
      <c r="H47" s="36">
        <f t="shared" si="2"/>
        <v>1</v>
      </c>
      <c r="I47" s="11">
        <f t="shared" si="3"/>
        <v>24186748</v>
      </c>
      <c r="J47" s="53">
        <f t="shared" si="4"/>
        <v>3940531</v>
      </c>
      <c r="K47" s="53">
        <f t="shared" si="5"/>
        <v>20246217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588</v>
      </c>
      <c r="H48" s="36">
        <f t="shared" si="2"/>
        <v>1</v>
      </c>
      <c r="I48" s="11">
        <f t="shared" si="3"/>
        <v>1000658900</v>
      </c>
      <c r="J48" s="53">
        <f t="shared" si="4"/>
        <v>0</v>
      </c>
      <c r="K48" s="53">
        <f t="shared" si="5"/>
        <v>1000658900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579</v>
      </c>
      <c r="H49" s="36">
        <f t="shared" si="2"/>
        <v>0</v>
      </c>
      <c r="I49" s="11">
        <f t="shared" si="3"/>
        <v>-89745000</v>
      </c>
      <c r="J49" s="53">
        <f t="shared" si="4"/>
        <v>0</v>
      </c>
      <c r="K49" s="53">
        <f t="shared" si="5"/>
        <v>-89745000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579</v>
      </c>
      <c r="H50" s="36">
        <f t="shared" si="2"/>
        <v>0</v>
      </c>
      <c r="I50" s="11">
        <f t="shared" si="3"/>
        <v>-79902000</v>
      </c>
      <c r="J50" s="53">
        <f t="shared" si="4"/>
        <v>0</v>
      </c>
      <c r="K50" s="53">
        <f t="shared" si="5"/>
        <v>-79902000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579</v>
      </c>
      <c r="H51" s="36">
        <f t="shared" si="2"/>
        <v>0</v>
      </c>
      <c r="I51" s="11">
        <f t="shared" si="3"/>
        <v>-428460000</v>
      </c>
      <c r="J51" s="53">
        <f t="shared" si="4"/>
        <v>0</v>
      </c>
      <c r="K51" s="53">
        <f t="shared" si="5"/>
        <v>-428460000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579</v>
      </c>
      <c r="H52" s="36">
        <f t="shared" si="2"/>
        <v>0</v>
      </c>
      <c r="I52" s="11">
        <f t="shared" si="3"/>
        <v>-115800000</v>
      </c>
      <c r="J52" s="53">
        <f t="shared" si="4"/>
        <v>0</v>
      </c>
      <c r="K52" s="53">
        <f t="shared" si="5"/>
        <v>-115800000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578</v>
      </c>
      <c r="H53" s="36">
        <f t="shared" si="2"/>
        <v>0</v>
      </c>
      <c r="I53" s="11">
        <f t="shared" si="3"/>
        <v>-609790000</v>
      </c>
      <c r="J53" s="53">
        <f t="shared" si="4"/>
        <v>0</v>
      </c>
      <c r="K53" s="53">
        <f t="shared" si="5"/>
        <v>-609790000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578</v>
      </c>
      <c r="H54" s="36">
        <f t="shared" si="2"/>
        <v>0</v>
      </c>
      <c r="I54" s="11">
        <f t="shared" si="3"/>
        <v>-115600000</v>
      </c>
      <c r="J54" s="53">
        <f t="shared" si="4"/>
        <v>0</v>
      </c>
      <c r="K54" s="53">
        <f t="shared" si="5"/>
        <v>-115600000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578</v>
      </c>
      <c r="H55" s="36">
        <f t="shared" si="2"/>
        <v>0</v>
      </c>
      <c r="I55" s="11">
        <f t="shared" si="3"/>
        <v>-578289000</v>
      </c>
      <c r="J55" s="53">
        <f t="shared" si="4"/>
        <v>0</v>
      </c>
      <c r="K55" s="53">
        <f t="shared" si="5"/>
        <v>-578289000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578</v>
      </c>
      <c r="H56" s="36">
        <f t="shared" si="2"/>
        <v>0</v>
      </c>
      <c r="I56" s="11">
        <f t="shared" si="3"/>
        <v>-21964000</v>
      </c>
      <c r="J56" s="53">
        <f t="shared" si="4"/>
        <v>0</v>
      </c>
      <c r="K56" s="53">
        <f t="shared" si="5"/>
        <v>-21964000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578</v>
      </c>
      <c r="H57" s="36">
        <f t="shared" si="2"/>
        <v>0</v>
      </c>
      <c r="I57" s="11">
        <f t="shared" si="3"/>
        <v>-60690000</v>
      </c>
      <c r="J57" s="53">
        <f t="shared" si="4"/>
        <v>0</v>
      </c>
      <c r="K57" s="53">
        <f t="shared" si="5"/>
        <v>-60690000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578</v>
      </c>
      <c r="H58" s="36">
        <f t="shared" si="2"/>
        <v>0</v>
      </c>
      <c r="I58" s="11">
        <f t="shared" si="3"/>
        <v>-34680000</v>
      </c>
      <c r="J58" s="53">
        <f t="shared" si="4"/>
        <v>0</v>
      </c>
      <c r="K58" s="53">
        <f t="shared" si="5"/>
        <v>-34680000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575</v>
      </c>
      <c r="H59" s="36">
        <f t="shared" si="2"/>
        <v>1</v>
      </c>
      <c r="I59" s="11">
        <f t="shared" si="3"/>
        <v>574000000</v>
      </c>
      <c r="J59" s="53">
        <f t="shared" si="4"/>
        <v>574000000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574</v>
      </c>
      <c r="H60" s="36">
        <f t="shared" si="2"/>
        <v>1</v>
      </c>
      <c r="I60" s="11">
        <f t="shared" si="3"/>
        <v>2005500000</v>
      </c>
      <c r="J60" s="53">
        <f t="shared" si="4"/>
        <v>2005500000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572</v>
      </c>
      <c r="H61" s="36">
        <f t="shared" si="2"/>
        <v>1</v>
      </c>
      <c r="I61" s="11">
        <f t="shared" si="3"/>
        <v>571000000</v>
      </c>
      <c r="J61" s="53">
        <f t="shared" si="4"/>
        <v>571000000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572</v>
      </c>
      <c r="H62" s="36">
        <f t="shared" si="2"/>
        <v>1</v>
      </c>
      <c r="I62" s="11">
        <f t="shared" si="3"/>
        <v>1713000000</v>
      </c>
      <c r="J62" s="53">
        <f t="shared" si="4"/>
        <v>1713000000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570</v>
      </c>
      <c r="H63" s="36">
        <f t="shared" si="2"/>
        <v>0</v>
      </c>
      <c r="I63" s="11">
        <f t="shared" si="3"/>
        <v>-114000000</v>
      </c>
      <c r="J63" s="53">
        <f t="shared" si="4"/>
        <v>0</v>
      </c>
      <c r="K63" s="53">
        <f t="shared" si="5"/>
        <v>-114000000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565</v>
      </c>
      <c r="H64" s="36">
        <f t="shared" si="2"/>
        <v>0</v>
      </c>
      <c r="I64" s="11">
        <f t="shared" si="3"/>
        <v>-28250000</v>
      </c>
      <c r="J64" s="53">
        <f t="shared" si="4"/>
        <v>0</v>
      </c>
      <c r="K64" s="53">
        <f t="shared" si="5"/>
        <v>-28250000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561</v>
      </c>
      <c r="H65" s="36">
        <f t="shared" si="2"/>
        <v>0</v>
      </c>
      <c r="I65" s="11">
        <f t="shared" si="3"/>
        <v>-112200000</v>
      </c>
      <c r="J65" s="53">
        <f t="shared" si="4"/>
        <v>0</v>
      </c>
      <c r="K65" s="53">
        <f t="shared" si="5"/>
        <v>-112200000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558</v>
      </c>
      <c r="H66" s="36">
        <f t="shared" si="2"/>
        <v>0</v>
      </c>
      <c r="I66" s="11">
        <f t="shared" si="3"/>
        <v>-94860000</v>
      </c>
      <c r="J66" s="53">
        <f t="shared" si="4"/>
        <v>0</v>
      </c>
      <c r="K66" s="53">
        <f t="shared" si="5"/>
        <v>-94860000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557</v>
      </c>
      <c r="H67" s="36">
        <f t="shared" ref="H67:H131" si="8">IF(B67&gt;0,1,0)</f>
        <v>1</v>
      </c>
      <c r="I67" s="11">
        <f t="shared" ref="I67:I119" si="9">B67*(G67-H67)</f>
        <v>50776700</v>
      </c>
      <c r="J67" s="53">
        <f t="shared" ref="J67:J131" si="10">C67*(G67-H67)</f>
        <v>36541988</v>
      </c>
      <c r="K67" s="53">
        <f t="shared" ref="K67:K131" si="11">D67*(G67-H67)</f>
        <v>14234712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539</v>
      </c>
      <c r="H68" s="36">
        <f t="shared" si="8"/>
        <v>0</v>
      </c>
      <c r="I68" s="11">
        <f t="shared" si="9"/>
        <v>-78155000</v>
      </c>
      <c r="J68" s="53">
        <f t="shared" si="10"/>
        <v>0</v>
      </c>
      <c r="K68" s="53">
        <f t="shared" si="11"/>
        <v>-78155000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532</v>
      </c>
      <c r="H69" s="36">
        <f t="shared" si="8"/>
        <v>1</v>
      </c>
      <c r="I69" s="11">
        <f t="shared" si="9"/>
        <v>520380000</v>
      </c>
      <c r="J69" s="53">
        <f t="shared" si="10"/>
        <v>0</v>
      </c>
      <c r="K69" s="53">
        <f t="shared" si="11"/>
        <v>520380000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529</v>
      </c>
      <c r="H70" s="36">
        <f t="shared" si="8"/>
        <v>0</v>
      </c>
      <c r="I70" s="11">
        <f t="shared" si="9"/>
        <v>-24334000</v>
      </c>
      <c r="J70" s="53">
        <f t="shared" si="10"/>
        <v>0</v>
      </c>
      <c r="K70" s="53">
        <f t="shared" si="11"/>
        <v>-24334000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527</v>
      </c>
      <c r="H71" s="36">
        <f t="shared" si="8"/>
        <v>1</v>
      </c>
      <c r="I71" s="11">
        <f t="shared" si="9"/>
        <v>60667788</v>
      </c>
      <c r="J71" s="53">
        <f t="shared" si="10"/>
        <v>54605112</v>
      </c>
      <c r="K71" s="53">
        <f t="shared" si="11"/>
        <v>6062676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526</v>
      </c>
      <c r="H72" s="36">
        <f t="shared" si="8"/>
        <v>0</v>
      </c>
      <c r="I72" s="11">
        <f t="shared" si="9"/>
        <v>-79935694</v>
      </c>
      <c r="J72" s="53">
        <f t="shared" si="10"/>
        <v>0</v>
      </c>
      <c r="K72" s="53">
        <f t="shared" si="11"/>
        <v>-79935694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525</v>
      </c>
      <c r="H73" s="36">
        <f t="shared" si="8"/>
        <v>0</v>
      </c>
      <c r="I73" s="11">
        <f t="shared" si="9"/>
        <v>-422887500</v>
      </c>
      <c r="J73" s="53">
        <f t="shared" si="10"/>
        <v>0</v>
      </c>
      <c r="K73" s="53">
        <f t="shared" si="11"/>
        <v>-422887500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518</v>
      </c>
      <c r="H74" s="36">
        <f t="shared" si="8"/>
        <v>1</v>
      </c>
      <c r="I74" s="11">
        <f t="shared" si="9"/>
        <v>3616415000</v>
      </c>
      <c r="J74" s="53">
        <f t="shared" si="10"/>
        <v>0</v>
      </c>
      <c r="K74" s="53">
        <f t="shared" si="11"/>
        <v>3616415000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517</v>
      </c>
      <c r="H75" s="36">
        <f t="shared" si="8"/>
        <v>1</v>
      </c>
      <c r="I75" s="11">
        <f t="shared" si="9"/>
        <v>1548000000</v>
      </c>
      <c r="J75" s="53">
        <f t="shared" si="10"/>
        <v>0</v>
      </c>
      <c r="K75" s="53">
        <f t="shared" si="11"/>
        <v>1548000000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515</v>
      </c>
      <c r="H76" s="36">
        <f t="shared" si="8"/>
        <v>1</v>
      </c>
      <c r="I76" s="11">
        <f t="shared" si="9"/>
        <v>1542000000</v>
      </c>
      <c r="J76" s="53">
        <f t="shared" si="10"/>
        <v>0</v>
      </c>
      <c r="K76" s="53">
        <f t="shared" si="11"/>
        <v>1542000000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514</v>
      </c>
      <c r="H77" s="36">
        <f t="shared" si="8"/>
        <v>1</v>
      </c>
      <c r="I77" s="11">
        <f t="shared" si="9"/>
        <v>1539000000</v>
      </c>
      <c r="J77" s="53">
        <f t="shared" si="10"/>
        <v>0</v>
      </c>
      <c r="K77" s="53">
        <f t="shared" si="11"/>
        <v>1539000000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513</v>
      </c>
      <c r="H78" s="36">
        <f t="shared" si="8"/>
        <v>0</v>
      </c>
      <c r="I78" s="11">
        <f t="shared" si="9"/>
        <v>-1641600000</v>
      </c>
      <c r="J78" s="53">
        <f t="shared" si="10"/>
        <v>-1641600000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512</v>
      </c>
      <c r="H79" s="36">
        <f t="shared" si="8"/>
        <v>0</v>
      </c>
      <c r="I79" s="11">
        <f t="shared" si="9"/>
        <v>-409600000</v>
      </c>
      <c r="J79" s="53">
        <f t="shared" si="10"/>
        <v>-409600000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511</v>
      </c>
      <c r="H80" s="36">
        <f t="shared" si="8"/>
        <v>0</v>
      </c>
      <c r="I80" s="11">
        <f t="shared" si="9"/>
        <v>-24728823</v>
      </c>
      <c r="J80" s="53">
        <f t="shared" si="10"/>
        <v>0</v>
      </c>
      <c r="K80" s="53">
        <f t="shared" si="11"/>
        <v>-24728823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510</v>
      </c>
      <c r="H81" s="36">
        <f t="shared" si="8"/>
        <v>0</v>
      </c>
      <c r="I81" s="11">
        <f t="shared" si="9"/>
        <v>-71400000</v>
      </c>
      <c r="J81" s="53">
        <f t="shared" si="10"/>
        <v>0</v>
      </c>
      <c r="K81" s="53">
        <f t="shared" si="11"/>
        <v>-71400000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509</v>
      </c>
      <c r="H82" s="36">
        <f t="shared" si="8"/>
        <v>0</v>
      </c>
      <c r="I82" s="11">
        <f t="shared" si="9"/>
        <v>-127250000</v>
      </c>
      <c r="J82" s="53">
        <f t="shared" si="10"/>
        <v>0</v>
      </c>
      <c r="K82" s="53">
        <f t="shared" si="11"/>
        <v>-127250000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508</v>
      </c>
      <c r="H83" s="36">
        <f t="shared" si="8"/>
        <v>0</v>
      </c>
      <c r="I83" s="11">
        <f t="shared" si="9"/>
        <v>-101600000</v>
      </c>
      <c r="J83" s="53">
        <f t="shared" si="10"/>
        <v>0</v>
      </c>
      <c r="K83" s="53">
        <f t="shared" si="11"/>
        <v>-101600000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505</v>
      </c>
      <c r="H84" s="36">
        <f t="shared" si="8"/>
        <v>1</v>
      </c>
      <c r="I84" s="11">
        <f t="shared" si="9"/>
        <v>824140800</v>
      </c>
      <c r="J84" s="53">
        <f t="shared" si="10"/>
        <v>0</v>
      </c>
      <c r="K84" s="53">
        <f t="shared" si="11"/>
        <v>824140800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501</v>
      </c>
      <c r="H85" s="36">
        <f t="shared" si="8"/>
        <v>1</v>
      </c>
      <c r="I85" s="11">
        <f t="shared" si="9"/>
        <v>1250000000</v>
      </c>
      <c r="J85" s="53">
        <f t="shared" si="10"/>
        <v>0</v>
      </c>
      <c r="K85" s="53">
        <f t="shared" si="11"/>
        <v>1250000000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497</v>
      </c>
      <c r="H86" s="36">
        <f t="shared" si="8"/>
        <v>1</v>
      </c>
      <c r="I86" s="11">
        <f t="shared" si="9"/>
        <v>92404800</v>
      </c>
      <c r="J86" s="53">
        <f t="shared" si="10"/>
        <v>42135200</v>
      </c>
      <c r="K86" s="53">
        <f t="shared" si="11"/>
        <v>50269600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494</v>
      </c>
      <c r="H87" s="36">
        <f t="shared" si="8"/>
        <v>0</v>
      </c>
      <c r="I87" s="11">
        <f t="shared" si="9"/>
        <v>-98800000</v>
      </c>
      <c r="J87" s="53">
        <f t="shared" si="10"/>
        <v>0</v>
      </c>
      <c r="K87" s="53">
        <f t="shared" si="11"/>
        <v>-98800000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493</v>
      </c>
      <c r="H88" s="36">
        <f t="shared" si="8"/>
        <v>0</v>
      </c>
      <c r="I88" s="11">
        <f t="shared" si="9"/>
        <v>-58174000</v>
      </c>
      <c r="J88" s="53">
        <f t="shared" si="10"/>
        <v>-34017000</v>
      </c>
      <c r="K88" s="53">
        <f t="shared" si="11"/>
        <v>-24157000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485</v>
      </c>
      <c r="H89" s="36">
        <f t="shared" si="8"/>
        <v>0</v>
      </c>
      <c r="I89" s="11">
        <f t="shared" si="9"/>
        <v>-1552436500</v>
      </c>
      <c r="J89" s="53">
        <f t="shared" si="10"/>
        <v>0</v>
      </c>
      <c r="K89" s="53">
        <f t="shared" si="11"/>
        <v>-1552436500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484</v>
      </c>
      <c r="H90" s="36">
        <f t="shared" si="8"/>
        <v>0</v>
      </c>
      <c r="I90" s="11">
        <f t="shared" si="9"/>
        <v>-1549235600</v>
      </c>
      <c r="J90" s="53">
        <f t="shared" si="10"/>
        <v>0</v>
      </c>
      <c r="K90" s="53">
        <f t="shared" si="11"/>
        <v>-1549235600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483</v>
      </c>
      <c r="H91" s="36">
        <f t="shared" si="8"/>
        <v>0</v>
      </c>
      <c r="I91" s="11">
        <f t="shared" si="9"/>
        <v>-1546034700</v>
      </c>
      <c r="J91" s="53">
        <f t="shared" si="10"/>
        <v>0</v>
      </c>
      <c r="K91" s="53">
        <f t="shared" si="11"/>
        <v>-1546034700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482</v>
      </c>
      <c r="H92" s="36">
        <f t="shared" si="8"/>
        <v>0</v>
      </c>
      <c r="I92" s="11">
        <f t="shared" si="9"/>
        <v>-1542833800</v>
      </c>
      <c r="J92" s="53">
        <f t="shared" si="10"/>
        <v>0</v>
      </c>
      <c r="K92" s="53">
        <f t="shared" si="11"/>
        <v>-1542833800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481</v>
      </c>
      <c r="H93" s="36">
        <f t="shared" si="8"/>
        <v>0</v>
      </c>
      <c r="I93" s="11">
        <f t="shared" si="9"/>
        <v>-1539632900</v>
      </c>
      <c r="J93" s="53">
        <f t="shared" si="10"/>
        <v>0</v>
      </c>
      <c r="K93" s="53">
        <f t="shared" si="11"/>
        <v>-1539632900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480</v>
      </c>
      <c r="H94" s="36">
        <f t="shared" si="8"/>
        <v>0</v>
      </c>
      <c r="I94" s="11">
        <f t="shared" si="9"/>
        <v>-1536432000</v>
      </c>
      <c r="J94" s="53">
        <f t="shared" si="10"/>
        <v>0</v>
      </c>
      <c r="K94" s="53">
        <f t="shared" si="11"/>
        <v>-1536432000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478</v>
      </c>
      <c r="H95" s="36">
        <f t="shared" si="8"/>
        <v>0</v>
      </c>
      <c r="I95" s="11">
        <f t="shared" si="9"/>
        <v>-571972888</v>
      </c>
      <c r="J95" s="53">
        <f t="shared" si="10"/>
        <v>0</v>
      </c>
      <c r="K95" s="53">
        <f t="shared" si="11"/>
        <v>-571972888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468</v>
      </c>
      <c r="H96" s="36">
        <f t="shared" si="8"/>
        <v>0</v>
      </c>
      <c r="I96" s="11">
        <f t="shared" si="9"/>
        <v>-93600000</v>
      </c>
      <c r="J96" s="53">
        <f t="shared" si="10"/>
        <v>0</v>
      </c>
      <c r="K96" s="53">
        <f t="shared" si="11"/>
        <v>-93600000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467</v>
      </c>
      <c r="H97" s="36">
        <f t="shared" si="8"/>
        <v>1</v>
      </c>
      <c r="I97" s="11">
        <f t="shared" si="9"/>
        <v>74354028</v>
      </c>
      <c r="J97" s="53">
        <f t="shared" si="10"/>
        <v>32119516</v>
      </c>
      <c r="K97" s="53">
        <f t="shared" si="11"/>
        <v>42234512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462</v>
      </c>
      <c r="H98" s="36">
        <f t="shared" si="8"/>
        <v>1</v>
      </c>
      <c r="I98" s="11">
        <f t="shared" si="9"/>
        <v>52723648</v>
      </c>
      <c r="J98" s="53">
        <f t="shared" si="10"/>
        <v>0</v>
      </c>
      <c r="K98" s="53">
        <f t="shared" si="11"/>
        <v>52723648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459</v>
      </c>
      <c r="H99" s="36">
        <f t="shared" si="8"/>
        <v>0</v>
      </c>
      <c r="I99" s="11">
        <f t="shared" si="9"/>
        <v>-608175000</v>
      </c>
      <c r="J99" s="53">
        <f t="shared" si="10"/>
        <v>0</v>
      </c>
      <c r="K99" s="53">
        <f t="shared" si="11"/>
        <v>-608175000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454</v>
      </c>
      <c r="H100" s="36">
        <f t="shared" si="8"/>
        <v>1</v>
      </c>
      <c r="I100" s="11">
        <f t="shared" si="9"/>
        <v>600225000</v>
      </c>
      <c r="J100" s="53">
        <f t="shared" si="10"/>
        <v>0</v>
      </c>
      <c r="K100" s="53">
        <f t="shared" si="11"/>
        <v>600225000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437</v>
      </c>
      <c r="H101" s="36">
        <f t="shared" si="8"/>
        <v>1</v>
      </c>
      <c r="I101" s="11">
        <f t="shared" si="9"/>
        <v>29144420</v>
      </c>
      <c r="J101" s="53">
        <f t="shared" si="10"/>
        <v>29144420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434</v>
      </c>
      <c r="H102" s="36">
        <f t="shared" si="8"/>
        <v>1</v>
      </c>
      <c r="I102" s="11">
        <f t="shared" si="9"/>
        <v>1299000000</v>
      </c>
      <c r="J102" s="53">
        <f t="shared" si="10"/>
        <v>0</v>
      </c>
      <c r="K102" s="53">
        <f t="shared" si="11"/>
        <v>1299000000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427</v>
      </c>
      <c r="H103" s="36">
        <f t="shared" si="8"/>
        <v>0</v>
      </c>
      <c r="I103" s="11">
        <f t="shared" si="9"/>
        <v>-427000000</v>
      </c>
      <c r="J103" s="53">
        <f t="shared" si="10"/>
        <v>-427000000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417</v>
      </c>
      <c r="H104" s="36">
        <f t="shared" si="8"/>
        <v>1</v>
      </c>
      <c r="I104" s="11">
        <f t="shared" si="9"/>
        <v>1248000000</v>
      </c>
      <c r="J104" s="53">
        <f t="shared" si="10"/>
        <v>1248000000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416</v>
      </c>
      <c r="H105" s="36">
        <f t="shared" si="8"/>
        <v>1</v>
      </c>
      <c r="I105" s="11">
        <f t="shared" si="9"/>
        <v>464800000</v>
      </c>
      <c r="J105" s="53">
        <f t="shared" si="10"/>
        <v>464800000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416</v>
      </c>
      <c r="H106" s="36">
        <f t="shared" si="8"/>
        <v>0</v>
      </c>
      <c r="I106" s="11">
        <f t="shared" si="9"/>
        <v>-1248000000</v>
      </c>
      <c r="J106" s="53">
        <f t="shared" si="10"/>
        <v>0</v>
      </c>
      <c r="K106" s="53">
        <f t="shared" si="11"/>
        <v>-1248000000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407</v>
      </c>
      <c r="H107" s="36">
        <f t="shared" si="8"/>
        <v>1</v>
      </c>
      <c r="I107" s="11">
        <f t="shared" si="9"/>
        <v>36740564</v>
      </c>
      <c r="J107" s="53">
        <f t="shared" si="10"/>
        <v>30496690</v>
      </c>
      <c r="K107" s="53">
        <f t="shared" si="11"/>
        <v>6243874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405</v>
      </c>
      <c r="H108" s="36">
        <f t="shared" si="8"/>
        <v>0</v>
      </c>
      <c r="I108" s="11">
        <f t="shared" si="9"/>
        <v>-688783500</v>
      </c>
      <c r="J108" s="53">
        <f t="shared" si="10"/>
        <v>0</v>
      </c>
      <c r="K108" s="53">
        <f t="shared" si="11"/>
        <v>-688783500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401</v>
      </c>
      <c r="H109" s="36">
        <f t="shared" si="8"/>
        <v>0</v>
      </c>
      <c r="I109" s="11">
        <f t="shared" si="9"/>
        <v>-401200500</v>
      </c>
      <c r="J109" s="53">
        <f t="shared" si="10"/>
        <v>0</v>
      </c>
      <c r="K109" s="53">
        <f t="shared" si="11"/>
        <v>-401200500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398</v>
      </c>
      <c r="H110" s="36">
        <f t="shared" si="8"/>
        <v>1</v>
      </c>
      <c r="I110" s="11">
        <f t="shared" si="9"/>
        <v>7940000000</v>
      </c>
      <c r="J110" s="53">
        <f t="shared" si="10"/>
        <v>0</v>
      </c>
      <c r="K110" s="53">
        <f t="shared" si="11"/>
        <v>7940000000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378</v>
      </c>
      <c r="H111" s="36">
        <f t="shared" si="8"/>
        <v>1</v>
      </c>
      <c r="I111" s="11">
        <f t="shared" si="9"/>
        <v>65853606</v>
      </c>
      <c r="J111" s="53">
        <f t="shared" si="10"/>
        <v>32935851</v>
      </c>
      <c r="K111" s="53">
        <f t="shared" si="11"/>
        <v>32917755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362</v>
      </c>
      <c r="H112" s="36">
        <f t="shared" si="8"/>
        <v>0</v>
      </c>
      <c r="I112" s="11">
        <f t="shared" si="9"/>
        <v>-10280800000</v>
      </c>
      <c r="J112" s="53">
        <f t="shared" si="10"/>
        <v>0</v>
      </c>
      <c r="K112" s="53">
        <f t="shared" si="11"/>
        <v>-10280800000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347</v>
      </c>
      <c r="H113" s="36">
        <f t="shared" si="8"/>
        <v>1</v>
      </c>
      <c r="I113" s="11">
        <f t="shared" si="9"/>
        <v>56411840</v>
      </c>
      <c r="J113" s="53">
        <f t="shared" si="10"/>
        <v>42388806</v>
      </c>
      <c r="K113" s="53">
        <f t="shared" si="11"/>
        <v>14023034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347</v>
      </c>
      <c r="H114" s="36">
        <f t="shared" si="8"/>
        <v>0</v>
      </c>
      <c r="I114" s="11">
        <f t="shared" si="9"/>
        <v>-1977900</v>
      </c>
      <c r="J114" s="53">
        <f t="shared" si="10"/>
        <v>-867500</v>
      </c>
      <c r="K114" s="53">
        <f t="shared" si="11"/>
        <v>-1110400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334</v>
      </c>
      <c r="H115" s="36">
        <f t="shared" si="8"/>
        <v>0</v>
      </c>
      <c r="I115" s="11">
        <f t="shared" si="9"/>
        <v>0</v>
      </c>
      <c r="J115" s="53">
        <f t="shared" si="10"/>
        <v>167000000</v>
      </c>
      <c r="K115" s="53">
        <f t="shared" si="11"/>
        <v>-167000000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326</v>
      </c>
      <c r="H116" s="36">
        <f t="shared" si="8"/>
        <v>0</v>
      </c>
      <c r="I116" s="11">
        <f t="shared" si="9"/>
        <v>-52160000</v>
      </c>
      <c r="J116" s="53">
        <f t="shared" si="10"/>
        <v>0</v>
      </c>
      <c r="K116" s="53">
        <f t="shared" si="11"/>
        <v>-52160000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317</v>
      </c>
      <c r="H117" s="36">
        <f t="shared" si="8"/>
        <v>1</v>
      </c>
      <c r="I117" s="11">
        <f t="shared" si="9"/>
        <v>467680</v>
      </c>
      <c r="J117" s="53">
        <f t="shared" si="10"/>
        <v>33793356</v>
      </c>
      <c r="K117" s="53">
        <f t="shared" si="11"/>
        <v>-33325676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295</v>
      </c>
      <c r="H118" s="36">
        <f t="shared" si="8"/>
        <v>1</v>
      </c>
      <c r="I118" s="11">
        <f t="shared" si="9"/>
        <v>11583453000</v>
      </c>
      <c r="J118" s="53">
        <f t="shared" si="10"/>
        <v>0</v>
      </c>
      <c r="K118" s="53">
        <f t="shared" si="11"/>
        <v>11583453000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286</v>
      </c>
      <c r="H119" s="36">
        <f t="shared" si="8"/>
        <v>1</v>
      </c>
      <c r="I119" s="11">
        <f t="shared" si="9"/>
        <v>27223485</v>
      </c>
      <c r="J119" s="53">
        <f t="shared" si="10"/>
        <v>31365390</v>
      </c>
      <c r="K119" s="53">
        <f t="shared" si="11"/>
        <v>-4141905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282</v>
      </c>
      <c r="H120" s="11">
        <f t="shared" si="8"/>
        <v>1</v>
      </c>
      <c r="I120" s="11">
        <f t="shared" ref="I120:I155" si="13">B120*(G120-H120)</f>
        <v>562000000</v>
      </c>
      <c r="J120" s="11">
        <f t="shared" si="10"/>
        <v>0</v>
      </c>
      <c r="K120" s="11">
        <f t="shared" si="11"/>
        <v>562000000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256</v>
      </c>
      <c r="H121" s="11">
        <f t="shared" si="8"/>
        <v>1</v>
      </c>
      <c r="I121" s="11">
        <f t="shared" si="13"/>
        <v>663000000</v>
      </c>
      <c r="J121" s="11">
        <f t="shared" si="10"/>
        <v>0</v>
      </c>
      <c r="K121" s="11">
        <f t="shared" si="11"/>
        <v>663000000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255</v>
      </c>
      <c r="H122" s="11">
        <f t="shared" si="8"/>
        <v>1</v>
      </c>
      <c r="I122" s="11">
        <f t="shared" si="13"/>
        <v>97675954</v>
      </c>
      <c r="J122" s="11">
        <f t="shared" si="10"/>
        <v>28170632</v>
      </c>
      <c r="K122" s="11">
        <f t="shared" si="11"/>
        <v>69505322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254</v>
      </c>
      <c r="H123" s="11">
        <f t="shared" si="8"/>
        <v>0</v>
      </c>
      <c r="I123" s="11">
        <f t="shared" si="13"/>
        <v>0</v>
      </c>
      <c r="J123" s="11">
        <f t="shared" si="10"/>
        <v>203200000</v>
      </c>
      <c r="K123" s="11">
        <f t="shared" si="11"/>
        <v>-203200000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240</v>
      </c>
      <c r="H124" s="11">
        <f t="shared" si="8"/>
        <v>0</v>
      </c>
      <c r="I124" s="11">
        <f t="shared" si="13"/>
        <v>-720000000</v>
      </c>
      <c r="J124" s="11">
        <f t="shared" si="10"/>
        <v>0</v>
      </c>
      <c r="K124" s="11">
        <f t="shared" si="11"/>
        <v>-720000000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225</v>
      </c>
      <c r="H125" s="11">
        <f t="shared" si="8"/>
        <v>1</v>
      </c>
      <c r="I125" s="11">
        <f t="shared" si="13"/>
        <v>89759040</v>
      </c>
      <c r="J125" s="11">
        <f t="shared" si="10"/>
        <v>26628000</v>
      </c>
      <c r="K125" s="11">
        <f t="shared" si="11"/>
        <v>63131040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225</v>
      </c>
      <c r="H126" s="11">
        <f t="shared" si="8"/>
        <v>1</v>
      </c>
      <c r="I126" s="11">
        <f t="shared" si="13"/>
        <v>9408000000</v>
      </c>
      <c r="J126" s="11">
        <f t="shared" si="10"/>
        <v>0</v>
      </c>
      <c r="K126" s="11">
        <f t="shared" si="11"/>
        <v>9408000000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200</v>
      </c>
      <c r="H127" s="11">
        <f t="shared" si="8"/>
        <v>0</v>
      </c>
      <c r="I127" s="11">
        <f t="shared" si="13"/>
        <v>-1000000</v>
      </c>
      <c r="J127" s="11">
        <f t="shared" si="10"/>
        <v>0</v>
      </c>
      <c r="K127" s="11">
        <f t="shared" si="11"/>
        <v>-1000000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194</v>
      </c>
      <c r="H128" s="11">
        <f t="shared" si="8"/>
        <v>1</v>
      </c>
      <c r="I128" s="11">
        <f t="shared" si="13"/>
        <v>148875182</v>
      </c>
      <c r="J128" s="11">
        <f t="shared" si="10"/>
        <v>23294521</v>
      </c>
      <c r="K128" s="11">
        <f t="shared" si="11"/>
        <v>125580661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191</v>
      </c>
      <c r="H129" s="11">
        <f t="shared" si="8"/>
        <v>1</v>
      </c>
      <c r="I129" s="11">
        <f t="shared" si="13"/>
        <v>475000000</v>
      </c>
      <c r="J129" s="11">
        <f t="shared" si="10"/>
        <v>0</v>
      </c>
      <c r="K129" s="11">
        <f t="shared" si="11"/>
        <v>475000000</v>
      </c>
    </row>
    <row r="130" spans="1:13" x14ac:dyDescent="0.25">
      <c r="A130" s="11" t="s">
        <v>721</v>
      </c>
      <c r="B130" s="18">
        <v>-1000000</v>
      </c>
      <c r="C130" s="18">
        <v>-1000000</v>
      </c>
      <c r="D130" s="18">
        <f t="shared" si="12"/>
        <v>0</v>
      </c>
      <c r="E130" s="11" t="s">
        <v>742</v>
      </c>
      <c r="F130" s="11">
        <v>5</v>
      </c>
      <c r="G130" s="36">
        <f t="shared" si="7"/>
        <v>177</v>
      </c>
      <c r="H130" s="11">
        <f t="shared" si="8"/>
        <v>0</v>
      </c>
      <c r="I130" s="11">
        <f t="shared" si="13"/>
        <v>-177000000</v>
      </c>
      <c r="J130" s="11">
        <f t="shared" si="10"/>
        <v>-177000000</v>
      </c>
      <c r="K130" s="11">
        <f t="shared" si="11"/>
        <v>0</v>
      </c>
    </row>
    <row r="131" spans="1:13" x14ac:dyDescent="0.25">
      <c r="A131" s="11" t="s">
        <v>725</v>
      </c>
      <c r="B131" s="18">
        <v>-50000000</v>
      </c>
      <c r="C131" s="18">
        <v>0</v>
      </c>
      <c r="D131" s="18">
        <f t="shared" si="12"/>
        <v>-50000000</v>
      </c>
      <c r="E131" s="11" t="s">
        <v>726</v>
      </c>
      <c r="F131" s="11">
        <v>8</v>
      </c>
      <c r="G131" s="36">
        <f t="shared" ref="G131:G154" si="14">G132+F131</f>
        <v>172</v>
      </c>
      <c r="H131" s="11">
        <f t="shared" si="8"/>
        <v>0</v>
      </c>
      <c r="I131" s="11">
        <f t="shared" si="13"/>
        <v>-8600000000</v>
      </c>
      <c r="J131" s="11">
        <f t="shared" si="10"/>
        <v>0</v>
      </c>
      <c r="K131" s="11">
        <f t="shared" si="11"/>
        <v>-8600000000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164</v>
      </c>
      <c r="H132" s="11">
        <f t="shared" ref="H132:H155" si="15">IF(B132&gt;0,1,0)</f>
        <v>1</v>
      </c>
      <c r="I132" s="11">
        <f t="shared" si="13"/>
        <v>100128781</v>
      </c>
      <c r="J132" s="11">
        <f t="shared" ref="J132:J155" si="16">C132*(G132-H132)</f>
        <v>17273273</v>
      </c>
      <c r="K132" s="11">
        <f t="shared" ref="K132:K155" si="17">D132*(G132-H132)</f>
        <v>82855508</v>
      </c>
    </row>
    <row r="133" spans="1:13" x14ac:dyDescent="0.25">
      <c r="A133" s="11" t="s">
        <v>750</v>
      </c>
      <c r="B133" s="18">
        <v>-1210700</v>
      </c>
      <c r="C133" s="18">
        <v>0</v>
      </c>
      <c r="D133" s="18">
        <f t="shared" si="12"/>
        <v>-1210700</v>
      </c>
      <c r="E133" s="11" t="s">
        <v>751</v>
      </c>
      <c r="F133" s="11">
        <v>9</v>
      </c>
      <c r="G133" s="36">
        <f t="shared" si="14"/>
        <v>160</v>
      </c>
      <c r="H133" s="11">
        <f t="shared" si="15"/>
        <v>0</v>
      </c>
      <c r="I133" s="11">
        <f t="shared" si="13"/>
        <v>-193712000</v>
      </c>
      <c r="J133" s="11">
        <f t="shared" si="16"/>
        <v>0</v>
      </c>
      <c r="K133" s="11">
        <f t="shared" si="17"/>
        <v>-193712000</v>
      </c>
    </row>
    <row r="134" spans="1:13" x14ac:dyDescent="0.25">
      <c r="A134" s="11" t="s">
        <v>767</v>
      </c>
      <c r="B134" s="18">
        <v>-65000</v>
      </c>
      <c r="C134" s="18">
        <v>0</v>
      </c>
      <c r="D134" s="18">
        <f t="shared" si="12"/>
        <v>-65000</v>
      </c>
      <c r="E134" s="11" t="s">
        <v>770</v>
      </c>
      <c r="F134" s="11">
        <v>0</v>
      </c>
      <c r="G134" s="36">
        <f t="shared" si="14"/>
        <v>151</v>
      </c>
      <c r="H134" s="11">
        <f t="shared" si="15"/>
        <v>0</v>
      </c>
      <c r="I134" s="11">
        <f t="shared" si="13"/>
        <v>-9815000</v>
      </c>
      <c r="J134" s="11">
        <f t="shared" si="16"/>
        <v>0</v>
      </c>
      <c r="K134" s="11">
        <f t="shared" si="17"/>
        <v>-9815000</v>
      </c>
    </row>
    <row r="135" spans="1:13" x14ac:dyDescent="0.25">
      <c r="A135" s="11" t="s">
        <v>767</v>
      </c>
      <c r="B135" s="18">
        <v>-32300</v>
      </c>
      <c r="C135" s="18">
        <v>0</v>
      </c>
      <c r="D135" s="18">
        <f t="shared" si="12"/>
        <v>-32300</v>
      </c>
      <c r="E135" s="11" t="s">
        <v>771</v>
      </c>
      <c r="F135" s="11">
        <v>8</v>
      </c>
      <c r="G135" s="36">
        <f t="shared" si="14"/>
        <v>151</v>
      </c>
      <c r="H135" s="11">
        <f t="shared" si="15"/>
        <v>0</v>
      </c>
      <c r="I135" s="11">
        <f t="shared" si="13"/>
        <v>-4877300</v>
      </c>
      <c r="J135" s="11">
        <f t="shared" si="16"/>
        <v>0</v>
      </c>
      <c r="K135" s="11">
        <f t="shared" si="17"/>
        <v>-4877300</v>
      </c>
    </row>
    <row r="136" spans="1:13" x14ac:dyDescent="0.25">
      <c r="A136" s="11" t="s">
        <v>778</v>
      </c>
      <c r="B136" s="18">
        <v>-1000000</v>
      </c>
      <c r="C136" s="18">
        <v>-1000000</v>
      </c>
      <c r="D136" s="18">
        <f t="shared" si="12"/>
        <v>0</v>
      </c>
      <c r="E136" s="11" t="s">
        <v>779</v>
      </c>
      <c r="F136" s="11">
        <v>9</v>
      </c>
      <c r="G136" s="36">
        <f t="shared" si="14"/>
        <v>143</v>
      </c>
      <c r="H136" s="11">
        <f t="shared" si="15"/>
        <v>0</v>
      </c>
      <c r="I136" s="11">
        <f t="shared" si="13"/>
        <v>-143000000</v>
      </c>
      <c r="J136" s="11">
        <f t="shared" si="16"/>
        <v>-143000000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134</v>
      </c>
      <c r="H137" s="11">
        <f t="shared" si="15"/>
        <v>1</v>
      </c>
      <c r="I137" s="11">
        <f t="shared" si="13"/>
        <v>38686109</v>
      </c>
      <c r="J137" s="11">
        <f t="shared" si="16"/>
        <v>12948747</v>
      </c>
      <c r="K137" s="11">
        <f t="shared" si="17"/>
        <v>25737362</v>
      </c>
    </row>
    <row r="138" spans="1:13" x14ac:dyDescent="0.25">
      <c r="A138" s="11" t="s">
        <v>806</v>
      </c>
      <c r="B138" s="18">
        <v>-1000500</v>
      </c>
      <c r="C138" s="18">
        <v>-1000500</v>
      </c>
      <c r="D138" s="18">
        <f t="shared" si="12"/>
        <v>0</v>
      </c>
      <c r="E138" s="11" t="s">
        <v>807</v>
      </c>
      <c r="F138" s="11">
        <v>12</v>
      </c>
      <c r="G138" s="36">
        <f t="shared" si="14"/>
        <v>117</v>
      </c>
      <c r="H138" s="11">
        <f t="shared" si="15"/>
        <v>0</v>
      </c>
      <c r="I138" s="11">
        <f t="shared" si="13"/>
        <v>-117058500</v>
      </c>
      <c r="J138" s="11">
        <f t="shared" si="16"/>
        <v>-117058500</v>
      </c>
      <c r="K138" s="11">
        <f t="shared" si="17"/>
        <v>0</v>
      </c>
    </row>
    <row r="139" spans="1:13" x14ac:dyDescent="0.25">
      <c r="A139" s="11" t="s">
        <v>827</v>
      </c>
      <c r="B139" s="18">
        <v>282240</v>
      </c>
      <c r="C139" s="18">
        <v>88807</v>
      </c>
      <c r="D139" s="18">
        <f t="shared" si="12"/>
        <v>193433</v>
      </c>
      <c r="E139" s="11" t="s">
        <v>830</v>
      </c>
      <c r="F139" s="11">
        <v>3</v>
      </c>
      <c r="G139" s="36">
        <f t="shared" si="14"/>
        <v>105</v>
      </c>
      <c r="H139" s="11">
        <f t="shared" si="15"/>
        <v>1</v>
      </c>
      <c r="I139" s="11">
        <f t="shared" si="13"/>
        <v>29352960</v>
      </c>
      <c r="J139" s="11">
        <f t="shared" si="16"/>
        <v>9235928</v>
      </c>
      <c r="K139" s="11">
        <f t="shared" si="17"/>
        <v>20117032</v>
      </c>
    </row>
    <row r="140" spans="1:13" x14ac:dyDescent="0.25">
      <c r="A140" s="11" t="s">
        <v>832</v>
      </c>
      <c r="B140" s="18">
        <v>1500000</v>
      </c>
      <c r="C140" s="18">
        <v>0</v>
      </c>
      <c r="D140" s="18">
        <f t="shared" si="12"/>
        <v>1500000</v>
      </c>
      <c r="E140" s="11" t="s">
        <v>833</v>
      </c>
      <c r="F140" s="11">
        <v>13</v>
      </c>
      <c r="G140" s="36">
        <f t="shared" si="14"/>
        <v>102</v>
      </c>
      <c r="H140" s="11">
        <f t="shared" si="15"/>
        <v>1</v>
      </c>
      <c r="I140" s="11">
        <f t="shared" si="13"/>
        <v>151500000</v>
      </c>
      <c r="J140" s="11">
        <f t="shared" si="16"/>
        <v>0</v>
      </c>
      <c r="K140" s="11">
        <f t="shared" si="17"/>
        <v>151500000</v>
      </c>
    </row>
    <row r="141" spans="1:13" x14ac:dyDescent="0.25">
      <c r="A141" s="11" t="s">
        <v>855</v>
      </c>
      <c r="B141" s="18">
        <v>0</v>
      </c>
      <c r="C141" s="18">
        <v>-1000000</v>
      </c>
      <c r="D141" s="18">
        <f t="shared" si="12"/>
        <v>1000000</v>
      </c>
      <c r="E141" s="11" t="s">
        <v>854</v>
      </c>
      <c r="F141" s="11">
        <v>14</v>
      </c>
      <c r="G141" s="36">
        <f t="shared" si="14"/>
        <v>89</v>
      </c>
      <c r="H141" s="11">
        <f t="shared" si="15"/>
        <v>0</v>
      </c>
      <c r="I141" s="11">
        <f t="shared" si="13"/>
        <v>0</v>
      </c>
      <c r="J141" s="11">
        <f t="shared" si="16"/>
        <v>-89000000</v>
      </c>
      <c r="K141" s="11">
        <f t="shared" si="17"/>
        <v>89000000</v>
      </c>
    </row>
    <row r="142" spans="1:13" x14ac:dyDescent="0.25">
      <c r="A142" s="11" t="s">
        <v>868</v>
      </c>
      <c r="B142" s="18">
        <v>290893</v>
      </c>
      <c r="C142" s="18">
        <v>81022</v>
      </c>
      <c r="D142" s="18">
        <f t="shared" si="12"/>
        <v>209871</v>
      </c>
      <c r="E142" s="11" t="s">
        <v>874</v>
      </c>
      <c r="F142" s="11">
        <v>20</v>
      </c>
      <c r="G142" s="36">
        <f t="shared" si="14"/>
        <v>75</v>
      </c>
      <c r="H142" s="11">
        <f t="shared" si="15"/>
        <v>1</v>
      </c>
      <c r="I142" s="11">
        <f t="shared" si="13"/>
        <v>21526082</v>
      </c>
      <c r="J142" s="11">
        <f t="shared" si="16"/>
        <v>5995628</v>
      </c>
      <c r="K142" s="11">
        <f t="shared" si="17"/>
        <v>15530454</v>
      </c>
    </row>
    <row r="143" spans="1:13" x14ac:dyDescent="0.25">
      <c r="A143" s="11" t="s">
        <v>897</v>
      </c>
      <c r="B143" s="18">
        <v>0</v>
      </c>
      <c r="C143" s="18">
        <v>-1000000</v>
      </c>
      <c r="D143" s="18">
        <f t="shared" si="12"/>
        <v>1000000</v>
      </c>
      <c r="E143" s="11" t="s">
        <v>901</v>
      </c>
      <c r="F143" s="11">
        <v>10</v>
      </c>
      <c r="G143" s="36">
        <f t="shared" si="14"/>
        <v>55</v>
      </c>
      <c r="H143" s="11">
        <f t="shared" si="15"/>
        <v>0</v>
      </c>
      <c r="I143" s="11">
        <f t="shared" si="13"/>
        <v>0</v>
      </c>
      <c r="J143" s="11">
        <f t="shared" si="16"/>
        <v>-55000000</v>
      </c>
      <c r="K143" s="11">
        <f t="shared" si="17"/>
        <v>55000000</v>
      </c>
      <c r="M143" t="s">
        <v>25</v>
      </c>
    </row>
    <row r="144" spans="1:13" x14ac:dyDescent="0.25">
      <c r="A144" s="11" t="s">
        <v>906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45</v>
      </c>
      <c r="H144" s="11">
        <f t="shared" si="15"/>
        <v>1</v>
      </c>
      <c r="I144" s="11">
        <f t="shared" si="13"/>
        <v>12973488</v>
      </c>
      <c r="J144" s="11">
        <f t="shared" si="16"/>
        <v>3284908</v>
      </c>
      <c r="K144" s="11">
        <f t="shared" si="17"/>
        <v>9688580</v>
      </c>
    </row>
    <row r="145" spans="1:11" x14ac:dyDescent="0.25">
      <c r="A145" s="11" t="s">
        <v>931</v>
      </c>
      <c r="B145" s="18">
        <v>-10000</v>
      </c>
      <c r="C145" s="18">
        <v>-5000</v>
      </c>
      <c r="D145" s="18">
        <f t="shared" si="12"/>
        <v>-5000</v>
      </c>
      <c r="E145" s="74" t="s">
        <v>937</v>
      </c>
      <c r="F145" s="11">
        <v>5</v>
      </c>
      <c r="G145" s="36">
        <f t="shared" si="14"/>
        <v>30</v>
      </c>
      <c r="H145" s="11">
        <f t="shared" si="15"/>
        <v>0</v>
      </c>
      <c r="I145" s="11">
        <f t="shared" si="13"/>
        <v>-300000</v>
      </c>
      <c r="J145" s="11">
        <f t="shared" si="16"/>
        <v>-150000</v>
      </c>
      <c r="K145" s="11">
        <f t="shared" si="17"/>
        <v>-150000</v>
      </c>
    </row>
    <row r="146" spans="1:11" x14ac:dyDescent="0.25">
      <c r="A146" s="11" t="s">
        <v>917</v>
      </c>
      <c r="B146" s="18">
        <v>-1000500</v>
      </c>
      <c r="C146" s="18">
        <v>-1000500</v>
      </c>
      <c r="D146" s="18">
        <f t="shared" si="12"/>
        <v>0</v>
      </c>
      <c r="E146" s="11" t="s">
        <v>918</v>
      </c>
      <c r="F146" s="11">
        <v>6</v>
      </c>
      <c r="G146" s="36">
        <f t="shared" si="14"/>
        <v>25</v>
      </c>
      <c r="H146" s="11">
        <f t="shared" si="15"/>
        <v>0</v>
      </c>
      <c r="I146" s="11">
        <f t="shared" si="13"/>
        <v>-25012500</v>
      </c>
      <c r="J146" s="11">
        <f t="shared" si="16"/>
        <v>-25012500</v>
      </c>
      <c r="K146" s="11">
        <f t="shared" si="17"/>
        <v>0</v>
      </c>
    </row>
    <row r="147" spans="1:11" x14ac:dyDescent="0.25">
      <c r="A147" s="11" t="s">
        <v>958</v>
      </c>
      <c r="B147" s="18">
        <v>-27000000</v>
      </c>
      <c r="C147" s="18">
        <v>0</v>
      </c>
      <c r="D147" s="18">
        <f t="shared" si="12"/>
        <v>-27000000</v>
      </c>
      <c r="E147" s="11" t="s">
        <v>1042</v>
      </c>
      <c r="F147" s="11">
        <v>3</v>
      </c>
      <c r="G147" s="36">
        <f t="shared" si="14"/>
        <v>19</v>
      </c>
      <c r="H147" s="11">
        <f t="shared" si="15"/>
        <v>0</v>
      </c>
      <c r="I147" s="11">
        <f t="shared" si="13"/>
        <v>-513000000</v>
      </c>
      <c r="J147" s="11">
        <f t="shared" si="16"/>
        <v>0</v>
      </c>
      <c r="K147" s="11">
        <f t="shared" si="17"/>
        <v>-513000000</v>
      </c>
    </row>
    <row r="148" spans="1:11" x14ac:dyDescent="0.25">
      <c r="A148" s="11" t="s">
        <v>1068</v>
      </c>
      <c r="B148" s="18">
        <v>252436</v>
      </c>
      <c r="C148" s="18">
        <v>65510</v>
      </c>
      <c r="D148" s="18">
        <f t="shared" si="12"/>
        <v>186926</v>
      </c>
      <c r="E148" s="11" t="s">
        <v>1070</v>
      </c>
      <c r="F148" s="11">
        <v>8</v>
      </c>
      <c r="G148" s="36">
        <f t="shared" si="14"/>
        <v>16</v>
      </c>
      <c r="H148" s="11">
        <f t="shared" si="15"/>
        <v>1</v>
      </c>
      <c r="I148" s="11">
        <f t="shared" si="13"/>
        <v>3786540</v>
      </c>
      <c r="J148" s="11">
        <f t="shared" si="16"/>
        <v>982650</v>
      </c>
      <c r="K148" s="11">
        <f t="shared" si="17"/>
        <v>2803890</v>
      </c>
    </row>
    <row r="149" spans="1:11" x14ac:dyDescent="0.25">
      <c r="A149" s="11" t="s">
        <v>1107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1108</v>
      </c>
      <c r="F149" s="11">
        <v>7</v>
      </c>
      <c r="G149" s="36">
        <f t="shared" si="14"/>
        <v>8</v>
      </c>
      <c r="H149" s="11">
        <f t="shared" si="15"/>
        <v>1</v>
      </c>
      <c r="I149" s="11">
        <f t="shared" si="13"/>
        <v>366800000</v>
      </c>
      <c r="J149" s="11">
        <f t="shared" si="16"/>
        <v>0</v>
      </c>
      <c r="K149" s="11">
        <f t="shared" si="17"/>
        <v>366800000</v>
      </c>
    </row>
    <row r="150" spans="1:11" x14ac:dyDescent="0.25">
      <c r="A150" s="11" t="s">
        <v>1126</v>
      </c>
      <c r="B150" s="18">
        <v>-52000000</v>
      </c>
      <c r="C150" s="18">
        <v>0</v>
      </c>
      <c r="D150" s="18">
        <f t="shared" si="18"/>
        <v>-52000000</v>
      </c>
      <c r="E150" s="11" t="s">
        <v>1129</v>
      </c>
      <c r="F150" s="11">
        <v>1</v>
      </c>
      <c r="G150" s="36">
        <f t="shared" si="14"/>
        <v>1</v>
      </c>
      <c r="H150" s="11">
        <f t="shared" si="15"/>
        <v>0</v>
      </c>
      <c r="I150" s="11">
        <f t="shared" si="13"/>
        <v>-52000000</v>
      </c>
      <c r="J150" s="11">
        <f t="shared" si="16"/>
        <v>0</v>
      </c>
      <c r="K150" s="11">
        <f t="shared" si="17"/>
        <v>-52000000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8810063</v>
      </c>
      <c r="C156" s="29">
        <f>SUM(C2:C154)</f>
        <v>7551324</v>
      </c>
      <c r="D156" s="29">
        <f>SUM(D2:D154)</f>
        <v>1258739</v>
      </c>
      <c r="E156" s="11"/>
      <c r="F156" s="11"/>
      <c r="G156" s="11"/>
      <c r="H156" s="11"/>
      <c r="I156" s="29">
        <f>SUM(I2:I155)</f>
        <v>18559402411</v>
      </c>
      <c r="J156" s="29">
        <f>SUM(J2:J155)</f>
        <v>6846313507</v>
      </c>
      <c r="K156" s="29">
        <f>SUM(K2:K155)</f>
        <v>11713088904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25599175.739310347</v>
      </c>
      <c r="J159" s="29">
        <f>J156/G2</f>
        <v>9443191.0441379305</v>
      </c>
      <c r="K159" s="29">
        <f>K156/G2</f>
        <v>16155984.695172414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873</v>
      </c>
      <c r="G163" t="s">
        <v>25</v>
      </c>
      <c r="J163">
        <f>J156/I156*1448696</f>
        <v>534404.43677531462</v>
      </c>
      <c r="K163">
        <f>K156/I156*1448696</f>
        <v>914291.56322468526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832</v>
      </c>
      <c r="B3" s="18">
        <v>1500000</v>
      </c>
      <c r="C3" s="18">
        <v>0</v>
      </c>
      <c r="D3" s="43">
        <f t="shared" ref="D3:D22" si="0">B3-C3</f>
        <v>1500000</v>
      </c>
      <c r="E3" s="20" t="s">
        <v>833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853</v>
      </c>
      <c r="B4" s="18">
        <v>0</v>
      </c>
      <c r="C4" s="18">
        <v>-1000000</v>
      </c>
      <c r="D4" s="3">
        <f t="shared" si="0"/>
        <v>1000000</v>
      </c>
      <c r="E4" s="11" t="s">
        <v>854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868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841</v>
      </c>
      <c r="G31" s="9" t="s">
        <v>908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842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849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851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852</v>
      </c>
    </row>
    <row r="36" spans="4:17" x14ac:dyDescent="0.25">
      <c r="D36" s="42">
        <v>-10000</v>
      </c>
      <c r="E36" s="41" t="s">
        <v>862</v>
      </c>
    </row>
    <row r="37" spans="4:17" x14ac:dyDescent="0.25">
      <c r="D37" s="7">
        <v>-180000</v>
      </c>
      <c r="E37" s="41" t="s">
        <v>867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897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901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906</v>
      </c>
      <c r="B4" s="39">
        <v>294852</v>
      </c>
      <c r="C4" s="39">
        <v>74657</v>
      </c>
      <c r="D4" s="35">
        <f t="shared" si="0"/>
        <v>220195</v>
      </c>
      <c r="E4" s="23" t="s">
        <v>916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899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931</v>
      </c>
      <c r="B4" s="18">
        <v>-10000</v>
      </c>
      <c r="C4" s="18">
        <v>-5000</v>
      </c>
      <c r="D4" s="3">
        <f t="shared" si="0"/>
        <v>-5000</v>
      </c>
      <c r="E4" s="11" t="s">
        <v>937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958</v>
      </c>
      <c r="B5" s="18">
        <v>-27000000</v>
      </c>
      <c r="C5" s="18">
        <v>0</v>
      </c>
      <c r="D5" s="3">
        <f t="shared" si="0"/>
        <v>-27000000</v>
      </c>
      <c r="E5" s="20" t="s">
        <v>1043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1068</v>
      </c>
      <c r="B6" s="18">
        <v>252436</v>
      </c>
      <c r="C6" s="18">
        <v>65510</v>
      </c>
      <c r="D6" s="3">
        <f t="shared" si="0"/>
        <v>186926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919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949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1060</v>
      </c>
    </row>
    <row r="36" spans="4:17" x14ac:dyDescent="0.25">
      <c r="D36" s="42">
        <v>245000</v>
      </c>
      <c r="E36" s="41" t="s">
        <v>1060</v>
      </c>
    </row>
    <row r="37" spans="4:17" x14ac:dyDescent="0.25">
      <c r="D37" s="7">
        <v>-25000</v>
      </c>
      <c r="E37" s="41" t="s">
        <v>1064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Normal="100" workbookViewId="0">
      <pane ySplit="1" topLeftCell="A32" activePane="bottomLeft" state="frozen"/>
      <selection pane="bottomLeft" activeCell="R57" sqref="R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8554687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963</v>
      </c>
      <c r="B1" s="11" t="s">
        <v>960</v>
      </c>
      <c r="C1" s="11" t="s">
        <v>961</v>
      </c>
      <c r="D1" s="11" t="s">
        <v>972</v>
      </c>
      <c r="E1" s="11" t="s">
        <v>974</v>
      </c>
      <c r="F1" s="11" t="s">
        <v>964</v>
      </c>
      <c r="G1" s="11" t="s">
        <v>183</v>
      </c>
      <c r="H1" s="11" t="s">
        <v>979</v>
      </c>
      <c r="I1" s="11" t="s">
        <v>969</v>
      </c>
      <c r="J1" s="11" t="s">
        <v>975</v>
      </c>
      <c r="K1" s="11" t="s">
        <v>976</v>
      </c>
      <c r="L1" s="11" t="s">
        <v>970</v>
      </c>
      <c r="M1" s="11" t="s">
        <v>977</v>
      </c>
      <c r="N1" s="11" t="s">
        <v>5</v>
      </c>
      <c r="O1" s="11" t="s">
        <v>483</v>
      </c>
      <c r="P1" s="11" t="s">
        <v>39</v>
      </c>
      <c r="Q1" s="11" t="s">
        <v>1048</v>
      </c>
      <c r="R1" s="11" t="s">
        <v>980</v>
      </c>
      <c r="S1" s="74" t="s">
        <v>1065</v>
      </c>
      <c r="AB1" s="11" t="s">
        <v>979</v>
      </c>
      <c r="AC1" s="25"/>
    </row>
    <row r="2" spans="1:33" x14ac:dyDescent="0.25">
      <c r="A2" s="76" t="s">
        <v>950</v>
      </c>
      <c r="B2" s="76" t="s">
        <v>971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20</v>
      </c>
      <c r="AC2" s="25"/>
    </row>
    <row r="3" spans="1:33" x14ac:dyDescent="0.25">
      <c r="A3" s="76" t="s">
        <v>950</v>
      </c>
      <c r="B3" s="76" t="s">
        <v>971</v>
      </c>
      <c r="C3" s="76">
        <v>400</v>
      </c>
      <c r="D3" s="76" t="s">
        <v>973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966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967</v>
      </c>
      <c r="AC3" s="82" t="s">
        <v>1054</v>
      </c>
      <c r="AD3" s="82" t="s">
        <v>1055</v>
      </c>
      <c r="AE3" s="82" t="s">
        <v>1056</v>
      </c>
      <c r="AF3" s="82" t="s">
        <v>1057</v>
      </c>
      <c r="AG3" s="82" t="s">
        <v>968</v>
      </c>
    </row>
    <row r="4" spans="1:33" x14ac:dyDescent="0.25">
      <c r="A4" s="79" t="s">
        <v>950</v>
      </c>
      <c r="B4" s="79" t="s">
        <v>962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80435.999558584095</v>
      </c>
      <c r="M4" s="81"/>
      <c r="N4" s="79"/>
      <c r="O4" s="79"/>
      <c r="P4" s="81"/>
      <c r="Q4" s="81"/>
      <c r="R4" s="79"/>
      <c r="S4" s="80">
        <v>0</v>
      </c>
      <c r="U4" s="82"/>
      <c r="V4" s="82"/>
      <c r="W4" s="85">
        <v>0</v>
      </c>
      <c r="X4" s="82"/>
      <c r="Y4" s="85"/>
      <c r="Z4" s="86">
        <f>W4-Y4</f>
        <v>0</v>
      </c>
      <c r="AA4" s="82"/>
      <c r="AB4" s="85">
        <f t="shared" ref="AB4:AB10" si="2">W4*AA4*$AB$2/(365*100)</f>
        <v>0</v>
      </c>
      <c r="AC4" s="85">
        <f>AB4</f>
        <v>0</v>
      </c>
      <c r="AD4" s="85">
        <v>0</v>
      </c>
      <c r="AE4" s="85">
        <f>Y4+AC4</f>
        <v>0</v>
      </c>
      <c r="AF4" s="85">
        <f>Z4+AD4</f>
        <v>0</v>
      </c>
      <c r="AG4" s="86">
        <f t="shared" ref="AG4:AG9" si="3">W4+AB4</f>
        <v>0</v>
      </c>
    </row>
    <row r="5" spans="1:33" x14ac:dyDescent="0.25">
      <c r="A5" s="79" t="s">
        <v>1051</v>
      </c>
      <c r="B5" s="79" t="s">
        <v>962</v>
      </c>
      <c r="C5" s="79">
        <v>3</v>
      </c>
      <c r="D5" s="79" t="s">
        <v>973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/>
      <c r="V5" s="82"/>
      <c r="W5" s="85">
        <v>0</v>
      </c>
      <c r="X5" s="82"/>
      <c r="Y5" s="85"/>
      <c r="Z5" s="86">
        <f t="shared" ref="Z5:Z8" si="4">W5-Y5</f>
        <v>0</v>
      </c>
      <c r="AA5" s="82"/>
      <c r="AB5" s="85">
        <f t="shared" si="2"/>
        <v>0</v>
      </c>
      <c r="AC5" s="85">
        <v>0</v>
      </c>
      <c r="AD5" s="85">
        <f>AB5</f>
        <v>0</v>
      </c>
      <c r="AE5" s="85">
        <f t="shared" ref="AE5:AE11" si="5">Y5+AC5</f>
        <v>0</v>
      </c>
      <c r="AF5" s="85">
        <f t="shared" ref="AF5:AF11" si="6">Z5+AD5</f>
        <v>0</v>
      </c>
      <c r="AG5" s="86">
        <f t="shared" si="3"/>
        <v>0</v>
      </c>
    </row>
    <row r="6" spans="1:33" x14ac:dyDescent="0.25">
      <c r="A6" s="76" t="s">
        <v>950</v>
      </c>
      <c r="B6" s="76" t="s">
        <v>962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80479.954179743028</v>
      </c>
      <c r="M6" s="76"/>
      <c r="N6" s="76"/>
      <c r="O6" s="76"/>
      <c r="P6" s="76"/>
      <c r="Q6" s="76"/>
      <c r="R6" s="77">
        <v>81000</v>
      </c>
      <c r="S6" s="77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76" t="s">
        <v>1062</v>
      </c>
      <c r="B7" s="76" t="s">
        <v>962</v>
      </c>
      <c r="C7" s="76">
        <v>497</v>
      </c>
      <c r="D7" s="76" t="s">
        <v>973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79" t="s">
        <v>959</v>
      </c>
      <c r="B8" s="79" t="s">
        <v>978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97352.15615882774</v>
      </c>
      <c r="M8" s="79"/>
      <c r="N8" s="79"/>
      <c r="O8" s="79"/>
      <c r="P8" s="79"/>
      <c r="Q8" s="79"/>
      <c r="R8" s="80"/>
      <c r="S8" s="80">
        <f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958</v>
      </c>
      <c r="B9" s="79" t="s">
        <v>978</v>
      </c>
      <c r="C9" s="79">
        <v>300</v>
      </c>
      <c r="D9" s="79" t="s">
        <v>973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7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959</v>
      </c>
      <c r="B10" s="76" t="s">
        <v>978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97346.880363612901</v>
      </c>
      <c r="M10" s="76"/>
      <c r="N10" s="76"/>
      <c r="O10" s="76"/>
      <c r="P10" s="78"/>
      <c r="Q10" s="78"/>
      <c r="R10" s="76"/>
      <c r="S10" s="77">
        <f t="shared" ref="S10" si="8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1062</v>
      </c>
      <c r="B11" s="76" t="s">
        <v>978</v>
      </c>
      <c r="C11" s="76">
        <v>100</v>
      </c>
      <c r="D11" s="76" t="s">
        <v>973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9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958</v>
      </c>
      <c r="B12" s="79" t="s">
        <v>1040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0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0</v>
      </c>
      <c r="X12" s="82"/>
      <c r="Y12" s="85">
        <f>SUM(Y4:Y10)</f>
        <v>0</v>
      </c>
      <c r="Z12" s="86">
        <f>SUM(Z4:Z9)</f>
        <v>0</v>
      </c>
      <c r="AA12" s="82"/>
      <c r="AB12" s="86">
        <f>SUM(AB4:AB10)</f>
        <v>0</v>
      </c>
      <c r="AC12" s="86">
        <f>SUM(AC4:AC10)</f>
        <v>0</v>
      </c>
      <c r="AD12" s="86">
        <f>SUM(AD4:AD10)</f>
        <v>0</v>
      </c>
      <c r="AE12" s="86">
        <f>SUM(AE4:AE11)</f>
        <v>0</v>
      </c>
      <c r="AF12" s="86">
        <f>SUM(AF4:AF11)</f>
        <v>0</v>
      </c>
      <c r="AG12" s="86">
        <f>SUM(AG4:AG10)</f>
        <v>0</v>
      </c>
    </row>
    <row r="13" spans="1:33" x14ac:dyDescent="0.25">
      <c r="A13" s="79" t="s">
        <v>958</v>
      </c>
      <c r="B13" s="79" t="s">
        <v>1040</v>
      </c>
      <c r="C13" s="79">
        <v>200</v>
      </c>
      <c r="D13" s="79" t="s">
        <v>973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0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958</v>
      </c>
      <c r="B14" s="76" t="s">
        <v>988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0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1">C14*E14+K14-F14</f>
        <v>-852355</v>
      </c>
      <c r="Z14" t="s">
        <v>754</v>
      </c>
      <c r="AA14" t="s">
        <v>452</v>
      </c>
    </row>
    <row r="15" spans="1:33" x14ac:dyDescent="0.25">
      <c r="A15" s="76" t="s">
        <v>958</v>
      </c>
      <c r="B15" s="76" t="s">
        <v>988</v>
      </c>
      <c r="C15" s="76">
        <v>200</v>
      </c>
      <c r="D15" s="76" t="s">
        <v>973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0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2">-C15*E15+K15+F15</f>
        <v>852475.85500000045</v>
      </c>
      <c r="Y15" t="s">
        <v>1058</v>
      </c>
      <c r="Z15" s="7">
        <f>Z12+Q70</f>
        <v>2448143</v>
      </c>
      <c r="AA15" s="7">
        <f>Y12+P70</f>
        <v>3849427</v>
      </c>
    </row>
    <row r="16" spans="1:33" x14ac:dyDescent="0.25">
      <c r="A16" s="79" t="s">
        <v>958</v>
      </c>
      <c r="B16" s="79" t="s">
        <v>971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-541.27183561643835</v>
      </c>
      <c r="J16" s="79">
        <v>7.2499999999999995E-2</v>
      </c>
      <c r="K16" s="80">
        <f t="shared" ref="K16:K21" si="13">C16*E16*J16/100</f>
        <v>7056.28</v>
      </c>
      <c r="L16" s="79">
        <f>(E16*(1+J16/100)+I16/C16)/(1-J17/100)-(S16/C16)*(G16/365)*($AB$2/100)</f>
        <v>97465.327560978476</v>
      </c>
      <c r="M16" s="81"/>
      <c r="N16" s="79"/>
      <c r="O16" s="79"/>
      <c r="P16" s="81"/>
      <c r="Q16" s="81"/>
      <c r="R16" s="79"/>
      <c r="S16" s="80">
        <f t="shared" ref="S16" si="14">C16*E16+K16-F16</f>
        <v>-138354.72000000067</v>
      </c>
      <c r="Y16" t="s">
        <v>1059</v>
      </c>
      <c r="Z16" s="7">
        <f>Z15-AF12</f>
        <v>2448143</v>
      </c>
      <c r="AA16" s="7">
        <f>AA15-AE12</f>
        <v>3849427</v>
      </c>
    </row>
    <row r="17" spans="1:30" x14ac:dyDescent="0.25">
      <c r="A17" s="79" t="s">
        <v>1062</v>
      </c>
      <c r="B17" s="79" t="s">
        <v>971</v>
      </c>
      <c r="C17" s="79">
        <v>100</v>
      </c>
      <c r="D17" s="79" t="s">
        <v>973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3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5">M17*N17/C16</f>
        <v>82077</v>
      </c>
      <c r="Q17" s="81">
        <f t="shared" ref="Q17" si="16">M17*O17/C16</f>
        <v>82077</v>
      </c>
      <c r="R17" s="79"/>
      <c r="S17" s="80">
        <f t="shared" ref="S17" si="17">-C17*E17+K17+F17</f>
        <v>149542.5</v>
      </c>
    </row>
    <row r="18" spans="1:30" x14ac:dyDescent="0.25">
      <c r="A18" s="76" t="s">
        <v>958</v>
      </c>
      <c r="B18" s="76" t="s">
        <v>971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-541.27183561643835</v>
      </c>
      <c r="J18" s="76">
        <v>7.2499999999999995E-2</v>
      </c>
      <c r="K18" s="77">
        <f t="shared" si="13"/>
        <v>7056.28</v>
      </c>
      <c r="L18" s="76">
        <f>(E18*(1+J18/100)+I18/C18)/(1-J19/100)-(S18/C18)*(G18/365)*($AB$2/100)</f>
        <v>97465.327560978476</v>
      </c>
      <c r="M18" s="78"/>
      <c r="N18" s="76"/>
      <c r="O18" s="76"/>
      <c r="P18" s="78"/>
      <c r="Q18" s="78"/>
      <c r="R18" s="76"/>
      <c r="S18" s="77">
        <f t="shared" ref="S18" si="18">C18*E18+K18-F18</f>
        <v>-138354.72000000067</v>
      </c>
      <c r="Y18" t="s">
        <v>1089</v>
      </c>
      <c r="Z18">
        <v>8</v>
      </c>
    </row>
    <row r="19" spans="1:30" x14ac:dyDescent="0.25">
      <c r="A19" s="76" t="s">
        <v>1062</v>
      </c>
      <c r="B19" s="76" t="s">
        <v>971</v>
      </c>
      <c r="C19" s="76">
        <v>100</v>
      </c>
      <c r="D19" s="76" t="s">
        <v>973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3"/>
        <v>7249.8549999999996</v>
      </c>
      <c r="L19" s="76">
        <v>8</v>
      </c>
      <c r="M19" s="78">
        <f t="shared" ref="M19" si="19">F19-F18</f>
        <v>263972</v>
      </c>
      <c r="N19" s="76">
        <v>50</v>
      </c>
      <c r="O19" s="76">
        <v>50</v>
      </c>
      <c r="P19" s="78">
        <f t="shared" ref="P19" si="20">M19*N19/C18</f>
        <v>131986</v>
      </c>
      <c r="Q19" s="78">
        <f t="shared" ref="Q19" si="21">M19*O19/C18</f>
        <v>131986</v>
      </c>
      <c r="R19" s="76"/>
      <c r="S19" s="77">
        <f t="shared" ref="S19" si="22">-C19*E19+K19+F19</f>
        <v>149632.85500000045</v>
      </c>
      <c r="Y19" t="s">
        <v>1090</v>
      </c>
      <c r="Z19">
        <v>18</v>
      </c>
    </row>
    <row r="20" spans="1:30" x14ac:dyDescent="0.25">
      <c r="A20" s="79" t="s">
        <v>958</v>
      </c>
      <c r="B20" s="79" t="s">
        <v>971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-1082.5436712328767</v>
      </c>
      <c r="J20" s="79">
        <v>7.2499999999999995E-2</v>
      </c>
      <c r="K20" s="80">
        <f t="shared" si="13"/>
        <v>14112.56</v>
      </c>
      <c r="L20" s="79">
        <f>(E20*(1+J20/100)+I20/C20)/(1-J21/100)-(S20/C20)*(G20/365)*($AB$2/100)</f>
        <v>97465.327560978476</v>
      </c>
      <c r="M20" s="81"/>
      <c r="N20" s="79"/>
      <c r="O20" s="79"/>
      <c r="P20" s="81"/>
      <c r="Q20" s="81"/>
      <c r="R20" s="79"/>
      <c r="S20" s="80">
        <f t="shared" ref="S20" si="23">C20*E20+K20-F20</f>
        <v>-276709.44000000134</v>
      </c>
    </row>
    <row r="21" spans="1:30" x14ac:dyDescent="0.25">
      <c r="A21" s="79" t="s">
        <v>1062</v>
      </c>
      <c r="B21" s="79" t="s">
        <v>971</v>
      </c>
      <c r="C21" s="79">
        <v>200</v>
      </c>
      <c r="D21" s="79" t="s">
        <v>973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3"/>
        <v>14355</v>
      </c>
      <c r="L21" s="79">
        <v>9</v>
      </c>
      <c r="M21" s="81">
        <f t="shared" ref="M21" si="24">F21-F20</f>
        <v>328309</v>
      </c>
      <c r="N21" s="79">
        <v>100</v>
      </c>
      <c r="O21" s="79">
        <v>100</v>
      </c>
      <c r="P21" s="81">
        <f t="shared" ref="P21" si="25">M21*N21/C20</f>
        <v>164154.5</v>
      </c>
      <c r="Q21" s="81">
        <f t="shared" ref="Q21" si="26">M21*O21/C20</f>
        <v>164154.5</v>
      </c>
      <c r="R21" s="79"/>
      <c r="S21" s="80">
        <f t="shared" ref="S21" si="27">-C21*E21+K21+F21</f>
        <v>299086</v>
      </c>
    </row>
    <row r="22" spans="1:30" x14ac:dyDescent="0.25">
      <c r="A22" s="76" t="s">
        <v>958</v>
      </c>
      <c r="B22" s="76" t="s">
        <v>984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-559.48580821917813</v>
      </c>
      <c r="J22" s="76">
        <v>7.2499999999999995E-2</v>
      </c>
      <c r="K22" s="77">
        <f t="shared" ref="K22:K23" si="28">C22*E22*J22/100</f>
        <v>7095.9375</v>
      </c>
      <c r="L22" s="76">
        <f>(E22*(1+J22/100)+I22/C22)/(1-J23/100)-(S22/C22)*(G22/365)*($AB$2/100)</f>
        <v>98015.981922419291</v>
      </c>
      <c r="M22" s="78"/>
      <c r="N22" s="76"/>
      <c r="O22" s="76"/>
      <c r="P22" s="78"/>
      <c r="Q22" s="78"/>
      <c r="R22" s="76"/>
      <c r="S22" s="77">
        <f t="shared" ref="S22" si="29">C22*E22+K22-F22</f>
        <v>-416020.0625</v>
      </c>
      <c r="W22" s="11" t="s">
        <v>981</v>
      </c>
      <c r="X22" s="11" t="s">
        <v>182</v>
      </c>
    </row>
    <row r="23" spans="1:30" x14ac:dyDescent="0.25">
      <c r="A23" s="76" t="s">
        <v>1062</v>
      </c>
      <c r="B23" s="76" t="s">
        <v>984</v>
      </c>
      <c r="C23" s="76">
        <v>100</v>
      </c>
      <c r="D23" s="76" t="s">
        <v>973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8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0">-C23*E23+K23+F23</f>
        <v>427982.92750000022</v>
      </c>
      <c r="W23" s="11" t="s">
        <v>982</v>
      </c>
      <c r="X23" s="3">
        <v>0</v>
      </c>
      <c r="AD23" t="s">
        <v>25</v>
      </c>
    </row>
    <row r="24" spans="1:30" x14ac:dyDescent="0.25">
      <c r="A24" s="79" t="s">
        <v>958</v>
      </c>
      <c r="B24" s="79" t="s">
        <v>971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-1623.8155068493152</v>
      </c>
      <c r="J24" s="79">
        <v>7.2499999999999995E-2</v>
      </c>
      <c r="K24" s="80">
        <f t="shared" ref="K24:K25" si="31">C24*E24*J24/100</f>
        <v>21168.84</v>
      </c>
      <c r="L24" s="79">
        <f>(E24*(1+J24/100)+I24/C24)/(1-J25/100)-(S24/C24)*(G24/365)*($AB$2/100)</f>
        <v>97465.327560978476</v>
      </c>
      <c r="M24" s="81"/>
      <c r="N24" s="79"/>
      <c r="O24" s="79"/>
      <c r="P24" s="81"/>
      <c r="Q24" s="81"/>
      <c r="R24" s="79"/>
      <c r="S24" s="80">
        <f t="shared" ref="S24" si="32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1062</v>
      </c>
      <c r="B25" s="79" t="s">
        <v>971</v>
      </c>
      <c r="C25" s="79">
        <v>300</v>
      </c>
      <c r="D25" s="79" t="s">
        <v>973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1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3">-C25*E25+K25+F25</f>
        <v>448628.5</v>
      </c>
      <c r="W25" s="11"/>
      <c r="X25" s="3">
        <v>0</v>
      </c>
    </row>
    <row r="26" spans="1:30" x14ac:dyDescent="0.25">
      <c r="A26" s="76" t="s">
        <v>958</v>
      </c>
      <c r="B26" s="76" t="s">
        <v>984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98015.981922419291</v>
      </c>
      <c r="M26" s="78"/>
      <c r="N26" s="76"/>
      <c r="O26" s="76"/>
      <c r="P26" s="78"/>
      <c r="Q26" s="78"/>
      <c r="R26" s="76"/>
      <c r="S26" s="77">
        <f t="shared" ref="S26" si="34">C26*E26+K26-F26</f>
        <v>-832040.125</v>
      </c>
      <c r="W26" s="11"/>
      <c r="X26" s="3">
        <v>0</v>
      </c>
    </row>
    <row r="27" spans="1:30" x14ac:dyDescent="0.25">
      <c r="A27" s="76" t="s">
        <v>1062</v>
      </c>
      <c r="B27" s="76" t="s">
        <v>984</v>
      </c>
      <c r="C27" s="76">
        <v>200</v>
      </c>
      <c r="D27" s="76" t="s">
        <v>973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5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958</v>
      </c>
      <c r="B28" s="90" t="s">
        <v>984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-2237.9432328767125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98012.862542445393</v>
      </c>
      <c r="M28" s="90"/>
      <c r="N28" s="90"/>
      <c r="O28" s="90"/>
      <c r="P28" s="90"/>
      <c r="Q28" s="90"/>
      <c r="R28" s="91"/>
      <c r="S28" s="91">
        <f t="shared" ref="S28" si="36">C28*E28+K28-F28</f>
        <v>-416020.0625</v>
      </c>
      <c r="W28" s="11"/>
      <c r="X28" s="3">
        <v>0</v>
      </c>
    </row>
    <row r="29" spans="1:30" x14ac:dyDescent="0.25">
      <c r="A29" s="90" t="s">
        <v>1099</v>
      </c>
      <c r="B29" s="90" t="s">
        <v>984</v>
      </c>
      <c r="C29" s="90">
        <v>100</v>
      </c>
      <c r="D29" s="90" t="s">
        <v>973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7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8">M29*N29/C28</f>
        <v>122958.5</v>
      </c>
      <c r="Q29" s="91">
        <f t="shared" ref="Q29" si="39">M29*O29/C28</f>
        <v>122958.5</v>
      </c>
      <c r="R29" s="90"/>
      <c r="S29" s="91">
        <f t="shared" ref="S29" si="40">-C29*E29+K29+F29</f>
        <v>463882.92750000022</v>
      </c>
      <c r="W29" s="11"/>
      <c r="X29" s="3"/>
      <c r="Z29" s="7">
        <f>X32-W12</f>
        <v>0</v>
      </c>
    </row>
    <row r="30" spans="1:30" x14ac:dyDescent="0.25">
      <c r="A30" s="79" t="s">
        <v>1051</v>
      </c>
      <c r="B30" s="79" t="s">
        <v>1040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0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0</v>
      </c>
    </row>
    <row r="31" spans="1:30" x14ac:dyDescent="0.25">
      <c r="A31" s="79" t="s">
        <v>1051</v>
      </c>
      <c r="B31" s="79" t="s">
        <v>1040</v>
      </c>
      <c r="C31" s="79">
        <v>143</v>
      </c>
      <c r="D31" s="79" t="s">
        <v>973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0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1051</v>
      </c>
      <c r="B32" s="76" t="s">
        <v>962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0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0</v>
      </c>
    </row>
    <row r="33" spans="1:24" x14ac:dyDescent="0.25">
      <c r="A33" s="76" t="s">
        <v>1051</v>
      </c>
      <c r="B33" s="76" t="s">
        <v>962</v>
      </c>
      <c r="C33" s="76">
        <v>500</v>
      </c>
      <c r="D33" s="76" t="s">
        <v>973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0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1051</v>
      </c>
      <c r="B34" s="79" t="s">
        <v>1040</v>
      </c>
      <c r="C34" s="79">
        <v>140</v>
      </c>
      <c r="D34" s="79" t="s">
        <v>1053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0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977</v>
      </c>
      <c r="X34" s="3">
        <f>X32-AG12</f>
        <v>0</v>
      </c>
    </row>
    <row r="35" spans="1:24" x14ac:dyDescent="0.25">
      <c r="A35" s="79" t="s">
        <v>1051</v>
      </c>
      <c r="B35" s="79" t="s">
        <v>1040</v>
      </c>
      <c r="C35" s="79">
        <v>140</v>
      </c>
      <c r="D35" s="79" t="s">
        <v>973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0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1062</v>
      </c>
      <c r="B36" s="76" t="s">
        <v>978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1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2">C36*E36+K36-F36</f>
        <v>-33703.5</v>
      </c>
    </row>
    <row r="37" spans="1:24" x14ac:dyDescent="0.25">
      <c r="A37" s="76" t="s">
        <v>1062</v>
      </c>
      <c r="B37" s="76" t="s">
        <v>978</v>
      </c>
      <c r="C37" s="76">
        <v>100</v>
      </c>
      <c r="D37" s="76" t="s">
        <v>973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1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1062</v>
      </c>
      <c r="B38" s="79" t="s">
        <v>985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3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4">C38*E38+K38-F38</f>
        <v>-1252998.5</v>
      </c>
    </row>
    <row r="39" spans="1:24" x14ac:dyDescent="0.25">
      <c r="A39" s="79" t="s">
        <v>1062</v>
      </c>
      <c r="B39" s="79" t="s">
        <v>985</v>
      </c>
      <c r="C39" s="79">
        <v>500</v>
      </c>
      <c r="D39" s="79" t="s">
        <v>973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3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5">M39*N39/C38</f>
        <v>216806.5</v>
      </c>
      <c r="Q39" s="81">
        <f t="shared" ref="Q39" si="46">M39*O39/C38</f>
        <v>216806.5</v>
      </c>
      <c r="R39" s="79"/>
      <c r="S39" s="80">
        <f t="shared" ref="S39" si="47">-C39*E39+K39+F39</f>
        <v>1252949</v>
      </c>
    </row>
    <row r="40" spans="1:24" x14ac:dyDescent="0.25">
      <c r="A40" s="76" t="s">
        <v>1062</v>
      </c>
      <c r="B40" s="76" t="s">
        <v>962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82589.914880068871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1099</v>
      </c>
      <c r="B41" s="76" t="s">
        <v>962</v>
      </c>
      <c r="C41" s="76">
        <v>8</v>
      </c>
      <c r="D41" s="76" t="s">
        <v>973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8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1062</v>
      </c>
      <c r="B42" s="79" t="s">
        <v>988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85778.80481263742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1100</v>
      </c>
      <c r="B43" s="79" t="s">
        <v>988</v>
      </c>
      <c r="C43" s="79">
        <v>1900</v>
      </c>
      <c r="D43" s="79" t="s">
        <v>973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49">M43*N43/C42</f>
        <v>505161.5</v>
      </c>
      <c r="Q43" s="81">
        <f t="shared" ref="Q43" si="50">M43*O43/C42</f>
        <v>505161.5</v>
      </c>
      <c r="R43" s="79"/>
      <c r="S43" s="80">
        <f t="shared" ref="S43" si="51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3"/>
        <v>0</v>
      </c>
      <c r="L52" s="76">
        <f t="shared" ref="L52" si="52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3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3"/>
        <v>0</v>
      </c>
      <c r="L53" s="76">
        <v>21</v>
      </c>
      <c r="M53" s="78">
        <f t="shared" ref="M53" si="54">F53-F52</f>
        <v>0</v>
      </c>
      <c r="N53" s="76">
        <v>50</v>
      </c>
      <c r="O53" s="76">
        <v>50</v>
      </c>
      <c r="P53" s="78">
        <f t="shared" ref="P53" si="55">M53*N53/C52</f>
        <v>0</v>
      </c>
      <c r="Q53" s="78">
        <f t="shared" ref="Q53" si="56">M53*O53/C52</f>
        <v>0</v>
      </c>
      <c r="R53" s="76"/>
      <c r="S53" s="89">
        <f t="shared" ref="S53" si="57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3"/>
        <v>0</v>
      </c>
      <c r="L54" s="79">
        <f t="shared" ref="L54" si="58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59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3"/>
        <v>0</v>
      </c>
      <c r="L55" s="79">
        <v>22</v>
      </c>
      <c r="M55" s="79">
        <f t="shared" ref="M55" si="60">F55-F54</f>
        <v>0</v>
      </c>
      <c r="N55" s="79">
        <v>50</v>
      </c>
      <c r="O55" s="79">
        <v>50</v>
      </c>
      <c r="P55" s="79">
        <f t="shared" ref="P55" si="61">M55*N55/C54</f>
        <v>0</v>
      </c>
      <c r="Q55" s="79">
        <f t="shared" ref="Q55" si="62">M55*O55/C54</f>
        <v>0</v>
      </c>
      <c r="R55" s="79"/>
      <c r="S55" s="80">
        <f t="shared" ref="S55" si="63">-C55*E55+K55+F55</f>
        <v>0</v>
      </c>
    </row>
    <row r="56" spans="1:20" x14ac:dyDescent="0.25">
      <c r="A56" s="16" t="s">
        <v>1163</v>
      </c>
      <c r="B56" s="76" t="s">
        <v>962</v>
      </c>
      <c r="C56" s="76">
        <v>248</v>
      </c>
      <c r="D56" s="76" t="s">
        <v>61</v>
      </c>
      <c r="E56" s="77">
        <v>82626</v>
      </c>
      <c r="F56" s="77">
        <v>20506045</v>
      </c>
      <c r="G56" s="76">
        <v>1</v>
      </c>
      <c r="H56" s="76">
        <v>0</v>
      </c>
      <c r="I56" s="77">
        <f>F56*G56*($AB$2-H56)/(36500)</f>
        <v>11236.189041095891</v>
      </c>
      <c r="J56" s="76">
        <v>7.2499999999999995E-2</v>
      </c>
      <c r="K56" s="76">
        <f>C56*E56*J56/100</f>
        <v>14856.1548</v>
      </c>
      <c r="L56" s="76">
        <f>(E56*(1+J56/100)+I56/C56)/(1-J57/100)-(S56/C56)*(G56/365)*($AB$2/100)</f>
        <v>82791.234578339485</v>
      </c>
      <c r="M56" s="76"/>
      <c r="N56" s="76"/>
      <c r="O56" s="76"/>
      <c r="P56" s="76"/>
      <c r="Q56" s="76"/>
      <c r="R56" s="76">
        <v>83000</v>
      </c>
      <c r="S56" s="77">
        <f>C56*E56+K56-F56</f>
        <v>59.154800001531839</v>
      </c>
      <c r="T56" t="s">
        <v>25</v>
      </c>
    </row>
    <row r="57" spans="1:20" x14ac:dyDescent="0.25">
      <c r="A57" s="16"/>
      <c r="B57" s="76"/>
      <c r="C57" s="76"/>
      <c r="D57" s="76"/>
      <c r="E57" s="76"/>
      <c r="F57" s="77">
        <v>20600000</v>
      </c>
      <c r="G57" s="76"/>
      <c r="H57" s="76"/>
      <c r="I57" s="76"/>
      <c r="J57" s="76">
        <v>7.2499999999999995E-2</v>
      </c>
      <c r="K57" s="76">
        <f>C57*E57*J57/100</f>
        <v>0</v>
      </c>
      <c r="L57" s="76">
        <v>20</v>
      </c>
      <c r="M57" s="78">
        <f>F57-F56</f>
        <v>93955</v>
      </c>
      <c r="N57" s="76">
        <v>124</v>
      </c>
      <c r="O57" s="76">
        <v>124</v>
      </c>
      <c r="P57" s="76">
        <f t="shared" ref="P57" si="64">M57*N57/C56</f>
        <v>46977.5</v>
      </c>
      <c r="Q57" s="76">
        <f t="shared" ref="Q57" si="65">M57*O57/C56</f>
        <v>46977.5</v>
      </c>
      <c r="R57" s="76"/>
      <c r="S57" s="77">
        <f t="shared" ref="S57" si="66">-C57*E57+K57+F57</f>
        <v>20600000</v>
      </c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7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8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9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70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71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72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3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4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5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6297570</v>
      </c>
      <c r="N70" s="11"/>
      <c r="O70" s="11"/>
      <c r="P70" s="3">
        <f>SUM(P2:P69)</f>
        <v>3849427</v>
      </c>
      <c r="Q70" s="3">
        <f>SUM(Q3:Q69)</f>
        <v>2448143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1049</v>
      </c>
      <c r="Q71" s="11" t="s">
        <v>1050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1157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76">C83*D83</f>
        <v>35200000</v>
      </c>
      <c r="G83">
        <f t="shared" ref="G83:G90" si="77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973</v>
      </c>
      <c r="F84">
        <f t="shared" si="76"/>
        <v>176999900</v>
      </c>
      <c r="G84">
        <f t="shared" si="77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76"/>
        <v>35580000</v>
      </c>
      <c r="G85">
        <f t="shared" si="77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76"/>
        <v>142400000</v>
      </c>
      <c r="G86">
        <f t="shared" si="77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973</v>
      </c>
      <c r="F87">
        <f t="shared" si="76"/>
        <v>53220030</v>
      </c>
      <c r="G87">
        <f t="shared" si="77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973</v>
      </c>
      <c r="F88">
        <f t="shared" si="76"/>
        <v>17740000</v>
      </c>
      <c r="G88">
        <f t="shared" si="77"/>
        <v>22175</v>
      </c>
      <c r="H88">
        <f t="shared" ref="H88:H89" si="78">F88-G88</f>
        <v>17717825</v>
      </c>
      <c r="I88" s="25"/>
    </row>
    <row r="89" spans="3:14" x14ac:dyDescent="0.25">
      <c r="C89">
        <v>40</v>
      </c>
      <c r="D89">
        <v>1771000</v>
      </c>
      <c r="E89" t="s">
        <v>973</v>
      </c>
      <c r="F89">
        <f t="shared" si="76"/>
        <v>70840000</v>
      </c>
      <c r="G89">
        <f t="shared" si="77"/>
        <v>88550</v>
      </c>
      <c r="H89">
        <f t="shared" si="78"/>
        <v>70751450</v>
      </c>
      <c r="I89" s="28"/>
    </row>
    <row r="90" spans="3:14" x14ac:dyDescent="0.25">
      <c r="C90">
        <v>20</v>
      </c>
      <c r="D90">
        <v>1790000</v>
      </c>
      <c r="E90" t="s">
        <v>973</v>
      </c>
      <c r="F90">
        <f t="shared" si="76"/>
        <v>35800000</v>
      </c>
      <c r="G90">
        <f t="shared" si="77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9" zoomScaleNormal="100" workbookViewId="0">
      <pane xSplit="1" topLeftCell="B1" activePane="topRight" state="frozen"/>
      <selection pane="topRight" activeCell="D18" sqref="D18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1085</v>
      </c>
      <c r="M1" s="11" t="s">
        <v>996</v>
      </c>
      <c r="N1" s="11" t="s">
        <v>1075</v>
      </c>
      <c r="O1" s="11" t="s">
        <v>998</v>
      </c>
      <c r="P1" s="11" t="s">
        <v>1081</v>
      </c>
      <c r="Q1" s="11" t="s">
        <v>999</v>
      </c>
      <c r="R1" s="11" t="s">
        <v>1033</v>
      </c>
      <c r="S1" s="11" t="s">
        <v>1010</v>
      </c>
      <c r="T1" s="11" t="s">
        <v>965</v>
      </c>
      <c r="U1" s="69" t="s">
        <v>1080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979</v>
      </c>
      <c r="AD1" t="s">
        <v>1038</v>
      </c>
      <c r="AE1" t="s">
        <v>1039</v>
      </c>
      <c r="AI1">
        <v>0.51500000000000001</v>
      </c>
      <c r="AJ1" t="s">
        <v>1066</v>
      </c>
      <c r="AL1" t="s">
        <v>1076</v>
      </c>
      <c r="AM1" t="s">
        <v>1077</v>
      </c>
    </row>
    <row r="2" spans="1:39" x14ac:dyDescent="0.25">
      <c r="A2" s="92" t="s">
        <v>989</v>
      </c>
      <c r="B2" s="93">
        <f>$S2/(1+($AC$2-$O2+$P2)/36500)^$N2</f>
        <v>93591.310762548906</v>
      </c>
      <c r="C2" s="93">
        <f>$S2/(1+($AC$3-$O2+$P2)/36500)^$N2</f>
        <v>93707.21456998722</v>
      </c>
      <c r="D2" s="93">
        <f>$S2/(1+($AC$4-$O2+$P2)/36500)^$N2</f>
        <v>93852.297986210644</v>
      </c>
      <c r="E2" s="93">
        <f>$S2/(1+($AC$5-$O2+$P2)/36500)^$N2</f>
        <v>93997.608020679108</v>
      </c>
      <c r="F2" s="93">
        <f>$S2/(1+($AC$6-$O2+$P2)/36500)^$N2</f>
        <v>94143.1450304803</v>
      </c>
      <c r="G2" s="93">
        <f>$S2/(1+($AC$7-$O2+$P2)/36500)^$N2</f>
        <v>94288.909373262621</v>
      </c>
      <c r="H2" s="93">
        <f>$S2/(1+($AC$8-$O2+$P2)/36500)^$N2</f>
        <v>94434.901407249825</v>
      </c>
      <c r="I2" s="93">
        <f>$S2/(1+($AC$9-$O2+$P2)/36500)^$N2</f>
        <v>94581.121491229555</v>
      </c>
      <c r="J2" s="93">
        <f>$S2/(1+($AC$10-$O2+$P2)/36500)^$N2</f>
        <v>94727.569984562157</v>
      </c>
      <c r="K2" s="93">
        <f>$S2/(1+($AC$11-$O2+$P2)/36500)^$N2</f>
        <v>94874.247247183244</v>
      </c>
      <c r="L2" s="93">
        <f>$S2/(1+($AC$5-$O2+$P2)/36500)^$N2</f>
        <v>93997.608020679108</v>
      </c>
      <c r="M2" s="92" t="s">
        <v>1019</v>
      </c>
      <c r="N2" s="92">
        <f>132-$AD$19</f>
        <v>113</v>
      </c>
      <c r="O2" s="92">
        <v>0</v>
      </c>
      <c r="P2" s="92">
        <v>0</v>
      </c>
      <c r="Q2" s="92">
        <v>0</v>
      </c>
      <c r="R2" s="92">
        <f t="shared" ref="R2:R29" si="0">N2/30.5</f>
        <v>3.7049180327868854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1067</v>
      </c>
    </row>
    <row r="3" spans="1:39" x14ac:dyDescent="0.25">
      <c r="A3" s="94" t="s">
        <v>990</v>
      </c>
      <c r="B3" s="95">
        <f t="shared" ref="B3:B29" si="2">$S3/(1+($AC$2-$O3+$P3)/36500)^$N3</f>
        <v>91690.888360855432</v>
      </c>
      <c r="C3" s="95">
        <f t="shared" ref="C3:C29" si="3">$S3/(1+($AC$3-$O3+$P3)/36500)^$N3</f>
        <v>91839.637645662457</v>
      </c>
      <c r="D3" s="95">
        <f t="shared" ref="D3:D29" si="4">$S3/(1+($AC$4-$O3+$P3)/36500)^$N3</f>
        <v>92025.915943764121</v>
      </c>
      <c r="E3" s="95">
        <f t="shared" ref="E3:E29" si="5">$S3/(1+($AC$5-$O3+$P3)/36500)^$N3</f>
        <v>92212.574628162096</v>
      </c>
      <c r="F3" s="95">
        <f t="shared" ref="F3:F29" si="6">$S3/(1+($AC$6-$O3+$P3)/36500)^$N3</f>
        <v>92399.614480845572</v>
      </c>
      <c r="G3" s="95">
        <f t="shared" ref="G3:G29" si="7">$S3/(1+($AC$7-$O3+$P3)/36500)^$N3</f>
        <v>92587.036285413182</v>
      </c>
      <c r="H3" s="95">
        <f t="shared" ref="H3:H29" si="8">$S3/(1+($AC$8-$O3+$P3)/36500)^$N3</f>
        <v>92774.8408270941</v>
      </c>
      <c r="I3" s="95">
        <f t="shared" ref="I3:I29" si="9">$S3/(1+($AC$9-$O3+$P3)/36500)^$N3</f>
        <v>92963.028892735631</v>
      </c>
      <c r="J3" s="95">
        <f t="shared" ref="J3:J29" si="10">$S3/(1+($AC$10-$O3+$P3)/36500)^$N3</f>
        <v>93151.601270816493</v>
      </c>
      <c r="K3" s="95">
        <f t="shared" ref="K3:K29" si="11">$S3/(1+($AC$11-$O3+$P3)/36500)^$N3</f>
        <v>93340.558751452481</v>
      </c>
      <c r="L3" s="95">
        <f t="shared" ref="L3:L29" si="12">$S3/(1+($AC$5-$O3+$P3)/36500)^$N3</f>
        <v>92212.574628162096</v>
      </c>
      <c r="M3" s="94" t="s">
        <v>1020</v>
      </c>
      <c r="N3" s="94">
        <f>167-$AD$19</f>
        <v>148</v>
      </c>
      <c r="O3" s="94">
        <v>0</v>
      </c>
      <c r="P3" s="94">
        <v>0</v>
      </c>
      <c r="Q3" s="94">
        <v>0</v>
      </c>
      <c r="R3" s="94">
        <f t="shared" si="0"/>
        <v>4.8524590163934427</v>
      </c>
      <c r="S3" s="95">
        <v>100000</v>
      </c>
      <c r="T3" s="95">
        <v>92000</v>
      </c>
      <c r="U3" s="95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991</v>
      </c>
      <c r="B4" s="97">
        <f t="shared" si="2"/>
        <v>90145.519998895033</v>
      </c>
      <c r="C4" s="97">
        <f t="shared" si="3"/>
        <v>90320.445608726674</v>
      </c>
      <c r="D4" s="97">
        <f t="shared" si="4"/>
        <v>90539.582738665675</v>
      </c>
      <c r="E4" s="97">
        <f t="shared" si="5"/>
        <v>90759.25455428462</v>
      </c>
      <c r="F4" s="97">
        <f t="shared" si="6"/>
        <v>90979.462367547079</v>
      </c>
      <c r="G4" s="97">
        <f t="shared" si="7"/>
        <v>91200.207493643262</v>
      </c>
      <c r="H4" s="97">
        <f t="shared" si="8"/>
        <v>91421.491251019164</v>
      </c>
      <c r="I4" s="97">
        <f t="shared" si="9"/>
        <v>91643.314961365701</v>
      </c>
      <c r="J4" s="97">
        <f t="shared" si="10"/>
        <v>91865.679949638696</v>
      </c>
      <c r="K4" s="97">
        <f t="shared" si="11"/>
        <v>92088.587544069655</v>
      </c>
      <c r="L4" s="97">
        <f t="shared" si="12"/>
        <v>90759.25455428462</v>
      </c>
      <c r="M4" s="96" t="s">
        <v>1021</v>
      </c>
      <c r="N4" s="96">
        <f>196-$AD$19</f>
        <v>177</v>
      </c>
      <c r="O4" s="96">
        <v>0</v>
      </c>
      <c r="P4" s="96">
        <v>0</v>
      </c>
      <c r="Q4" s="96">
        <v>0</v>
      </c>
      <c r="R4" s="96">
        <f t="shared" si="0"/>
        <v>5.8032786885245899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992</v>
      </c>
      <c r="B5" s="93">
        <f t="shared" si="2"/>
        <v>71096.832130592316</v>
      </c>
      <c r="C5" s="93">
        <f t="shared" si="3"/>
        <v>71551.477844818801</v>
      </c>
      <c r="D5" s="93">
        <f t="shared" si="4"/>
        <v>72123.882692898478</v>
      </c>
      <c r="E5" s="93">
        <f t="shared" si="5"/>
        <v>72700.874654981642</v>
      </c>
      <c r="F5" s="93">
        <f t="shared" si="6"/>
        <v>73282.490554662654</v>
      </c>
      <c r="G5" s="93">
        <f t="shared" si="7"/>
        <v>73868.767511623999</v>
      </c>
      <c r="H5" s="93">
        <f t="shared" si="8"/>
        <v>74459.742944076963</v>
      </c>
      <c r="I5" s="93">
        <f t="shared" si="9"/>
        <v>75055.454571116425</v>
      </c>
      <c r="J5" s="93">
        <f t="shared" si="10"/>
        <v>75655.940415176214</v>
      </c>
      <c r="K5" s="93">
        <f t="shared" si="11"/>
        <v>76261.238804480294</v>
      </c>
      <c r="L5" s="93">
        <f t="shared" si="12"/>
        <v>72700.874654981642</v>
      </c>
      <c r="M5" s="92" t="s">
        <v>1022</v>
      </c>
      <c r="N5" s="92">
        <f>601-$AD$19</f>
        <v>582</v>
      </c>
      <c r="O5" s="92">
        <v>0</v>
      </c>
      <c r="P5" s="92">
        <v>0</v>
      </c>
      <c r="Q5" s="92">
        <v>0</v>
      </c>
      <c r="R5" s="92">
        <f t="shared" si="0"/>
        <v>19.081967213114755</v>
      </c>
      <c r="S5" s="93">
        <v>100000</v>
      </c>
      <c r="T5" s="93">
        <v>73200</v>
      </c>
      <c r="U5" s="93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973</v>
      </c>
      <c r="AC5">
        <v>20</v>
      </c>
    </row>
    <row r="6" spans="1:39" x14ac:dyDescent="0.25">
      <c r="A6" s="94" t="s">
        <v>993</v>
      </c>
      <c r="B6" s="95">
        <f t="shared" si="2"/>
        <v>86218.037430154392</v>
      </c>
      <c r="C6" s="95">
        <f t="shared" si="3"/>
        <v>86457.278347419735</v>
      </c>
      <c r="D6" s="95">
        <f t="shared" si="4"/>
        <v>86757.266957648637</v>
      </c>
      <c r="E6" s="95">
        <f t="shared" si="5"/>
        <v>87058.30059393734</v>
      </c>
      <c r="F6" s="95">
        <f t="shared" si="6"/>
        <v>87360.382911078224</v>
      </c>
      <c r="G6" s="95">
        <f t="shared" si="7"/>
        <v>87663.517576681508</v>
      </c>
      <c r="H6" s="95">
        <f t="shared" si="8"/>
        <v>87967.708271249241</v>
      </c>
      <c r="I6" s="95">
        <f t="shared" si="9"/>
        <v>88272.958688195038</v>
      </c>
      <c r="J6" s="95">
        <f t="shared" si="10"/>
        <v>88579.272533905634</v>
      </c>
      <c r="K6" s="95">
        <f t="shared" si="11"/>
        <v>88886.653527790739</v>
      </c>
      <c r="L6" s="95">
        <f t="shared" si="12"/>
        <v>87058.30059393734</v>
      </c>
      <c r="M6" s="94" t="s">
        <v>1023</v>
      </c>
      <c r="N6" s="94">
        <f>272-$AD$19</f>
        <v>253</v>
      </c>
      <c r="O6" s="94">
        <v>0</v>
      </c>
      <c r="P6" s="94">
        <v>0</v>
      </c>
      <c r="Q6" s="94">
        <v>0</v>
      </c>
      <c r="R6" s="94">
        <f t="shared" si="0"/>
        <v>8.2950819672131146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994</v>
      </c>
      <c r="B7" s="97">
        <f t="shared" si="2"/>
        <v>72273.274132282982</v>
      </c>
      <c r="C7" s="97">
        <f t="shared" si="3"/>
        <v>72713.140441377036</v>
      </c>
      <c r="D7" s="97">
        <f t="shared" si="4"/>
        <v>73266.746746017408</v>
      </c>
      <c r="E7" s="97">
        <f t="shared" si="5"/>
        <v>73824.575635021451</v>
      </c>
      <c r="F7" s="97">
        <f t="shared" si="6"/>
        <v>74386.659374274619</v>
      </c>
      <c r="G7" s="97">
        <f t="shared" si="7"/>
        <v>74953.030476634507</v>
      </c>
      <c r="H7" s="97">
        <f t="shared" si="8"/>
        <v>75523.721703878531</v>
      </c>
      <c r="I7" s="97">
        <f t="shared" si="9"/>
        <v>76098.766068564684</v>
      </c>
      <c r="J7" s="97">
        <f t="shared" si="10"/>
        <v>76678.196835985276</v>
      </c>
      <c r="K7" s="97">
        <f t="shared" si="11"/>
        <v>77262.047526112525</v>
      </c>
      <c r="L7" s="97">
        <f t="shared" si="12"/>
        <v>73824.575635021451</v>
      </c>
      <c r="M7" s="96" t="s">
        <v>1024</v>
      </c>
      <c r="N7" s="96">
        <f>573-$AD$19</f>
        <v>554</v>
      </c>
      <c r="O7" s="96">
        <v>0</v>
      </c>
      <c r="P7" s="96">
        <v>0</v>
      </c>
      <c r="Q7" s="96">
        <v>0</v>
      </c>
      <c r="R7" s="96">
        <f t="shared" si="0"/>
        <v>18.16393442622951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995</v>
      </c>
      <c r="B8" s="93">
        <f t="shared" si="2"/>
        <v>85513.443101129844</v>
      </c>
      <c r="C8" s="93">
        <f t="shared" si="3"/>
        <v>85763.878531983268</v>
      </c>
      <c r="D8" s="93">
        <f t="shared" si="4"/>
        <v>86077.958331501533</v>
      </c>
      <c r="E8" s="93">
        <f t="shared" si="5"/>
        <v>86393.192660650035</v>
      </c>
      <c r="F8" s="93">
        <f t="shared" si="6"/>
        <v>86709.585779279005</v>
      </c>
      <c r="G8" s="93">
        <f t="shared" si="7"/>
        <v>87027.141962999769</v>
      </c>
      <c r="H8" s="93">
        <f t="shared" si="8"/>
        <v>87345.865503273468</v>
      </c>
      <c r="I8" s="93">
        <f t="shared" si="9"/>
        <v>87665.760707442867</v>
      </c>
      <c r="J8" s="93">
        <f t="shared" si="10"/>
        <v>87986.831898808581</v>
      </c>
      <c r="K8" s="93">
        <f t="shared" si="11"/>
        <v>88309.083416692214</v>
      </c>
      <c r="L8" s="93">
        <f t="shared" si="12"/>
        <v>86393.192660650035</v>
      </c>
      <c r="M8" s="92" t="s">
        <v>1026</v>
      </c>
      <c r="N8" s="92">
        <f>286-$AD$19</f>
        <v>267</v>
      </c>
      <c r="O8" s="92">
        <v>0</v>
      </c>
      <c r="P8" s="92">
        <v>0</v>
      </c>
      <c r="Q8" s="92">
        <v>0</v>
      </c>
      <c r="R8" s="92">
        <f t="shared" si="0"/>
        <v>8.7540983606557372</v>
      </c>
      <c r="S8" s="93">
        <v>100000</v>
      </c>
      <c r="T8" s="93">
        <v>86700</v>
      </c>
      <c r="U8" s="93">
        <f t="shared" si="13"/>
        <v>99999.999999999985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1011</v>
      </c>
      <c r="B9" s="95">
        <f t="shared" si="2"/>
        <v>76815.917894108439</v>
      </c>
      <c r="C9" s="95">
        <f t="shared" si="3"/>
        <v>77195.450744035828</v>
      </c>
      <c r="D9" s="95">
        <f t="shared" si="4"/>
        <v>77672.510787008432</v>
      </c>
      <c r="E9" s="95">
        <f t="shared" si="5"/>
        <v>78152.525604648632</v>
      </c>
      <c r="F9" s="95">
        <f t="shared" si="6"/>
        <v>78635.513538834595</v>
      </c>
      <c r="G9" s="95">
        <f t="shared" si="7"/>
        <v>79121.493045532756</v>
      </c>
      <c r="H9" s="95">
        <f t="shared" si="8"/>
        <v>79610.482695555373</v>
      </c>
      <c r="I9" s="95">
        <f t="shared" si="9"/>
        <v>80102.501175235186</v>
      </c>
      <c r="J9" s="95">
        <f t="shared" si="10"/>
        <v>80597.567287171783</v>
      </c>
      <c r="K9" s="95">
        <f t="shared" si="11"/>
        <v>81095.69995096288</v>
      </c>
      <c r="L9" s="95">
        <f t="shared" si="12"/>
        <v>78152.525604648632</v>
      </c>
      <c r="M9" s="94" t="s">
        <v>1025</v>
      </c>
      <c r="N9" s="94">
        <f>469-$AD$19</f>
        <v>450</v>
      </c>
      <c r="O9" s="94">
        <v>0</v>
      </c>
      <c r="P9" s="94">
        <v>0</v>
      </c>
      <c r="Q9" s="94">
        <v>0</v>
      </c>
      <c r="R9" s="94">
        <f t="shared" si="0"/>
        <v>14.754098360655737</v>
      </c>
      <c r="S9" s="95">
        <v>100000</v>
      </c>
      <c r="T9" s="95">
        <v>78300</v>
      </c>
      <c r="U9" s="95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1012</v>
      </c>
      <c r="B10" s="97">
        <f t="shared" si="2"/>
        <v>76815.917894108439</v>
      </c>
      <c r="C10" s="97">
        <f t="shared" si="3"/>
        <v>77195.450744035828</v>
      </c>
      <c r="D10" s="97">
        <f t="shared" si="4"/>
        <v>77672.510787008432</v>
      </c>
      <c r="E10" s="97">
        <f t="shared" si="5"/>
        <v>78152.525604648632</v>
      </c>
      <c r="F10" s="97">
        <f t="shared" si="6"/>
        <v>78635.513538834595</v>
      </c>
      <c r="G10" s="97">
        <f t="shared" si="7"/>
        <v>79121.493045532756</v>
      </c>
      <c r="H10" s="97">
        <f t="shared" si="8"/>
        <v>79610.482695555373</v>
      </c>
      <c r="I10" s="97">
        <f t="shared" si="9"/>
        <v>80102.501175235186</v>
      </c>
      <c r="J10" s="97">
        <f t="shared" si="10"/>
        <v>80597.567287171783</v>
      </c>
      <c r="K10" s="97">
        <f t="shared" si="11"/>
        <v>81095.69995096288</v>
      </c>
      <c r="L10" s="97">
        <f t="shared" si="12"/>
        <v>78152.525604648632</v>
      </c>
      <c r="M10" s="96" t="s">
        <v>1025</v>
      </c>
      <c r="N10" s="96">
        <f>469-$AD$19</f>
        <v>450</v>
      </c>
      <c r="O10" s="96">
        <v>0</v>
      </c>
      <c r="P10" s="96">
        <v>0</v>
      </c>
      <c r="Q10" s="96">
        <v>0</v>
      </c>
      <c r="R10" s="96">
        <f t="shared" si="0"/>
        <v>14.754098360655737</v>
      </c>
      <c r="S10" s="97">
        <v>100000</v>
      </c>
      <c r="T10" s="97">
        <v>77700</v>
      </c>
      <c r="U10" s="97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1013</v>
      </c>
      <c r="B11" s="93">
        <f t="shared" si="2"/>
        <v>70227.084792888112</v>
      </c>
      <c r="C11" s="93">
        <f t="shared" si="3"/>
        <v>70692.426327889043</v>
      </c>
      <c r="D11" s="93">
        <f t="shared" si="4"/>
        <v>71278.449011002696</v>
      </c>
      <c r="E11" s="93">
        <f t="shared" si="5"/>
        <v>71869.337800030364</v>
      </c>
      <c r="F11" s="93">
        <f t="shared" si="6"/>
        <v>72465.133168702567</v>
      </c>
      <c r="G11" s="93">
        <f t="shared" si="7"/>
        <v>73065.875927921777</v>
      </c>
      <c r="H11" s="93">
        <f t="shared" si="8"/>
        <v>73671.607228633045</v>
      </c>
      <c r="I11" s="93">
        <f t="shared" si="9"/>
        <v>74282.368564610719</v>
      </c>
      <c r="J11" s="93">
        <f t="shared" si="10"/>
        <v>74898.201775351656</v>
      </c>
      <c r="K11" s="93">
        <f t="shared" si="11"/>
        <v>75519.149048968335</v>
      </c>
      <c r="L11" s="93">
        <f t="shared" si="12"/>
        <v>71869.337800030364</v>
      </c>
      <c r="M11" s="92" t="s">
        <v>1029</v>
      </c>
      <c r="N11" s="92">
        <f>622-$AD$19</f>
        <v>603</v>
      </c>
      <c r="O11" s="92">
        <v>0</v>
      </c>
      <c r="P11" s="92">
        <v>0</v>
      </c>
      <c r="Q11" s="92">
        <v>0</v>
      </c>
      <c r="R11" s="92">
        <f t="shared" si="0"/>
        <v>19.770491803278688</v>
      </c>
      <c r="S11" s="93">
        <v>100000</v>
      </c>
      <c r="T11" s="93">
        <v>71800</v>
      </c>
      <c r="U11" s="93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1014</v>
      </c>
      <c r="B12" s="95">
        <f>$S12/(1+($AC$2-$O12+$P12)/36500)^$N12</f>
        <v>86877.50091838371</v>
      </c>
      <c r="C12" s="95">
        <f>$S12/(1+($AC$3-$O12+$P12)/36500)^$N12</f>
        <v>87106.168413409643</v>
      </c>
      <c r="D12" s="95">
        <f t="shared" si="4"/>
        <v>87392.852883421438</v>
      </c>
      <c r="E12" s="95">
        <f t="shared" si="5"/>
        <v>87680.484835890209</v>
      </c>
      <c r="F12" s="95">
        <f t="shared" si="6"/>
        <v>87969.067415256388</v>
      </c>
      <c r="G12" s="95">
        <f t="shared" si="7"/>
        <v>88258.603776425429</v>
      </c>
      <c r="H12" s="95">
        <f t="shared" si="8"/>
        <v>88549.097084830384</v>
      </c>
      <c r="I12" s="95">
        <f t="shared" si="9"/>
        <v>88840.550516442469</v>
      </c>
      <c r="J12" s="95">
        <f t="shared" si="10"/>
        <v>89132.967257821831</v>
      </c>
      <c r="K12" s="95">
        <f t="shared" si="11"/>
        <v>89426.35050615661</v>
      </c>
      <c r="L12" s="95">
        <f t="shared" si="12"/>
        <v>87680.484835890209</v>
      </c>
      <c r="M12" s="94" t="s">
        <v>1030</v>
      </c>
      <c r="N12" s="94">
        <f>259-$AD$19</f>
        <v>240</v>
      </c>
      <c r="O12" s="94">
        <v>0</v>
      </c>
      <c r="P12" s="94">
        <v>0</v>
      </c>
      <c r="Q12" s="94">
        <v>0</v>
      </c>
      <c r="R12" s="94">
        <f t="shared" si="0"/>
        <v>7.8688524590163933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1015</v>
      </c>
      <c r="B13" s="97">
        <f t="shared" si="2"/>
        <v>67681.162898215378</v>
      </c>
      <c r="C13" s="97">
        <f t="shared" si="3"/>
        <v>68176.660907380458</v>
      </c>
      <c r="D13" s="97">
        <f t="shared" si="4"/>
        <v>68801.14552943231</v>
      </c>
      <c r="E13" s="97">
        <f t="shared" si="5"/>
        <v>69431.35897366784</v>
      </c>
      <c r="F13" s="97">
        <f t="shared" si="6"/>
        <v>70067.353873999382</v>
      </c>
      <c r="G13" s="97">
        <f t="shared" si="7"/>
        <v>70709.183348616716</v>
      </c>
      <c r="H13" s="97">
        <f t="shared" si="8"/>
        <v>71356.901004510742</v>
      </c>
      <c r="I13" s="97">
        <f t="shared" si="9"/>
        <v>72010.560941923293</v>
      </c>
      <c r="J13" s="97">
        <f t="shared" si="10"/>
        <v>72670.21775892713</v>
      </c>
      <c r="K13" s="97">
        <f t="shared" si="11"/>
        <v>73335.926556022343</v>
      </c>
      <c r="L13" s="97">
        <f t="shared" si="12"/>
        <v>69431.35897366784</v>
      </c>
      <c r="M13" s="96" t="s">
        <v>1031</v>
      </c>
      <c r="N13" s="96">
        <f>685-$AD$19</f>
        <v>666</v>
      </c>
      <c r="O13" s="96">
        <v>0</v>
      </c>
      <c r="P13" s="96">
        <v>0</v>
      </c>
      <c r="Q13" s="96">
        <v>0</v>
      </c>
      <c r="R13" s="96">
        <f t="shared" si="0"/>
        <v>21.83606557377049</v>
      </c>
      <c r="S13" s="97">
        <v>100000</v>
      </c>
      <c r="T13" s="97">
        <v>70000</v>
      </c>
      <c r="U13" s="97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1016</v>
      </c>
      <c r="B14" s="93">
        <f t="shared" si="2"/>
        <v>68801.085690421867</v>
      </c>
      <c r="C14" s="93">
        <f t="shared" si="3"/>
        <v>69283.532202283721</v>
      </c>
      <c r="D14" s="93">
        <f t="shared" si="4"/>
        <v>69891.357995860322</v>
      </c>
      <c r="E14" s="93">
        <f t="shared" si="5"/>
        <v>70504.524688584832</v>
      </c>
      <c r="F14" s="93">
        <f t="shared" si="6"/>
        <v>71123.079284459818</v>
      </c>
      <c r="G14" s="93">
        <f t="shared" si="7"/>
        <v>71747.069201781604</v>
      </c>
      <c r="H14" s="93">
        <f t="shared" si="8"/>
        <v>72376.542276856853</v>
      </c>
      <c r="I14" s="93">
        <f t="shared" si="9"/>
        <v>73011.546767639957</v>
      </c>
      <c r="J14" s="93">
        <f t="shared" si="10"/>
        <v>73652.131357489081</v>
      </c>
      <c r="K14" s="93">
        <f t="shared" si="11"/>
        <v>74298.345158930446</v>
      </c>
      <c r="L14" s="93">
        <f t="shared" si="12"/>
        <v>70504.524688584832</v>
      </c>
      <c r="M14" s="92" t="s">
        <v>1032</v>
      </c>
      <c r="N14" s="92">
        <f>657-$AD$19</f>
        <v>638</v>
      </c>
      <c r="O14" s="92">
        <v>0</v>
      </c>
      <c r="P14" s="92">
        <v>0</v>
      </c>
      <c r="Q14" s="92">
        <v>0</v>
      </c>
      <c r="R14" s="92">
        <f t="shared" si="0"/>
        <v>20.918032786885245</v>
      </c>
      <c r="S14" s="93">
        <v>100000</v>
      </c>
      <c r="T14" s="93">
        <v>70700</v>
      </c>
      <c r="U14" s="93">
        <f t="shared" si="13"/>
        <v>99999.999999999985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1017</v>
      </c>
      <c r="B15" s="95">
        <f t="shared" si="2"/>
        <v>68801.085690421867</v>
      </c>
      <c r="C15" s="95">
        <f t="shared" si="3"/>
        <v>69283.532202283721</v>
      </c>
      <c r="D15" s="95">
        <f t="shared" si="4"/>
        <v>69891.357995860322</v>
      </c>
      <c r="E15" s="95">
        <f t="shared" si="5"/>
        <v>70504.524688584832</v>
      </c>
      <c r="F15" s="95">
        <f t="shared" si="6"/>
        <v>71123.079284459818</v>
      </c>
      <c r="G15" s="95">
        <f t="shared" si="7"/>
        <v>71747.069201781604</v>
      </c>
      <c r="H15" s="95">
        <f t="shared" si="8"/>
        <v>72376.542276856853</v>
      </c>
      <c r="I15" s="95">
        <f t="shared" si="9"/>
        <v>73011.546767639957</v>
      </c>
      <c r="J15" s="95">
        <f t="shared" si="10"/>
        <v>73652.131357489081</v>
      </c>
      <c r="K15" s="95">
        <f t="shared" si="11"/>
        <v>74298.345158930446</v>
      </c>
      <c r="L15" s="95">
        <f t="shared" si="12"/>
        <v>70504.524688584832</v>
      </c>
      <c r="M15" s="94" t="s">
        <v>1032</v>
      </c>
      <c r="N15" s="94">
        <f>657-$AD$19</f>
        <v>638</v>
      </c>
      <c r="O15" s="94">
        <v>0</v>
      </c>
      <c r="P15" s="94">
        <v>0</v>
      </c>
      <c r="Q15" s="94">
        <v>0</v>
      </c>
      <c r="R15" s="94">
        <f t="shared" si="0"/>
        <v>20.918032786885245</v>
      </c>
      <c r="S15" s="95">
        <v>100000</v>
      </c>
      <c r="T15" s="95">
        <v>71000</v>
      </c>
      <c r="U15" s="95">
        <f t="shared" si="13"/>
        <v>99999.999999999985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1018</v>
      </c>
      <c r="B16" s="97">
        <f t="shared" si="2"/>
        <v>71096.832130592316</v>
      </c>
      <c r="C16" s="97">
        <f t="shared" si="3"/>
        <v>71551.477844818801</v>
      </c>
      <c r="D16" s="97">
        <f t="shared" si="4"/>
        <v>72123.882692898478</v>
      </c>
      <c r="E16" s="97">
        <f t="shared" si="5"/>
        <v>72700.874654981642</v>
      </c>
      <c r="F16" s="97">
        <f t="shared" si="6"/>
        <v>73282.490554662654</v>
      </c>
      <c r="G16" s="97">
        <f t="shared" si="7"/>
        <v>73868.767511623999</v>
      </c>
      <c r="H16" s="97">
        <f t="shared" si="8"/>
        <v>74459.742944076963</v>
      </c>
      <c r="I16" s="97">
        <f t="shared" si="9"/>
        <v>75055.454571116425</v>
      </c>
      <c r="J16" s="97">
        <f t="shared" si="10"/>
        <v>75655.940415176214</v>
      </c>
      <c r="K16" s="97">
        <f t="shared" si="11"/>
        <v>76261.238804480294</v>
      </c>
      <c r="L16" s="97">
        <f t="shared" si="12"/>
        <v>72700.874654981642</v>
      </c>
      <c r="M16" s="96" t="s">
        <v>1022</v>
      </c>
      <c r="N16" s="96">
        <f>601-$AD$19</f>
        <v>582</v>
      </c>
      <c r="O16" s="96">
        <v>0</v>
      </c>
      <c r="P16" s="96">
        <v>0</v>
      </c>
      <c r="Q16" s="96">
        <v>0</v>
      </c>
      <c r="R16" s="96">
        <f t="shared" si="0"/>
        <v>19.081967213114755</v>
      </c>
      <c r="S16" s="97">
        <v>100000</v>
      </c>
      <c r="T16" s="97">
        <v>73100</v>
      </c>
      <c r="U16" s="97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1036</v>
      </c>
      <c r="B17" s="93">
        <f t="shared" si="2"/>
        <v>82986.744303546482</v>
      </c>
      <c r="C17" s="93">
        <f t="shared" si="3"/>
        <v>84249.303055870871</v>
      </c>
      <c r="D17" s="93">
        <f t="shared" si="4"/>
        <v>85854.567637725122</v>
      </c>
      <c r="E17" s="93">
        <f t="shared" si="5"/>
        <v>87490.44113736802</v>
      </c>
      <c r="F17" s="93">
        <f t="shared" si="6"/>
        <v>89157.507631789616</v>
      </c>
      <c r="G17" s="93">
        <f t="shared" si="7"/>
        <v>90856.362351613308</v>
      </c>
      <c r="H17" s="93">
        <f t="shared" si="8"/>
        <v>92587.611894167334</v>
      </c>
      <c r="I17" s="93">
        <f t="shared" si="9"/>
        <v>94351.874440548476</v>
      </c>
      <c r="J17" s="93">
        <f t="shared" si="10"/>
        <v>96149.779977336206</v>
      </c>
      <c r="K17" s="93">
        <f t="shared" si="11"/>
        <v>97981.97052184747</v>
      </c>
      <c r="L17" s="93">
        <f t="shared" si="12"/>
        <v>87490.44113736802</v>
      </c>
      <c r="M17" s="92" t="s">
        <v>1037</v>
      </c>
      <c r="N17" s="92">
        <f>1397-$AD$19</f>
        <v>1378</v>
      </c>
      <c r="O17" s="92">
        <v>17</v>
      </c>
      <c r="P17" s="92">
        <f>$AI$2</f>
        <v>0.54</v>
      </c>
      <c r="Q17" s="92">
        <v>6</v>
      </c>
      <c r="R17" s="92">
        <f t="shared" si="0"/>
        <v>45.180327868852459</v>
      </c>
      <c r="S17" s="93">
        <v>100000</v>
      </c>
      <c r="T17" s="93">
        <v>96000</v>
      </c>
      <c r="U17" s="93">
        <f t="shared" si="13"/>
        <v>186115.49554462463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984</v>
      </c>
      <c r="B18" s="95">
        <f>$S18/(1+($AC$2-$O18+$P18)/36500)^$N18</f>
        <v>98643.074618150946</v>
      </c>
      <c r="C18" s="95">
        <f t="shared" si="3"/>
        <v>99233.981810993952</v>
      </c>
      <c r="D18" s="95">
        <f>$S18/(1+($AC$4-$O18+$P18)/36500)^$N18</f>
        <v>99977.605252329085</v>
      </c>
      <c r="E18" s="95">
        <f t="shared" si="5"/>
        <v>100726.81143920013</v>
      </c>
      <c r="F18" s="95">
        <f t="shared" si="6"/>
        <v>101481.64236136262</v>
      </c>
      <c r="G18" s="95">
        <f t="shared" si="7"/>
        <v>102242.14032495882</v>
      </c>
      <c r="H18" s="95">
        <f t="shared" si="8"/>
        <v>103008.34795493275</v>
      </c>
      <c r="I18" s="95">
        <f t="shared" si="9"/>
        <v>103780.30819740138</v>
      </c>
      <c r="J18" s="95">
        <f t="shared" si="10"/>
        <v>104558.06432213201</v>
      </c>
      <c r="K18" s="95">
        <f t="shared" si="11"/>
        <v>105341.6599249413</v>
      </c>
      <c r="L18" s="95">
        <f t="shared" si="12"/>
        <v>100726.81143920013</v>
      </c>
      <c r="M18" s="94" t="s">
        <v>1003</v>
      </c>
      <c r="N18" s="94">
        <f>564-$AD$19</f>
        <v>545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17.868852459016395</v>
      </c>
      <c r="S18" s="95">
        <v>100000</v>
      </c>
      <c r="T18" s="95">
        <v>100000</v>
      </c>
      <c r="U18" s="95">
        <f t="shared" si="13"/>
        <v>135768.14842782359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1034</v>
      </c>
      <c r="AD18" t="s">
        <v>1074</v>
      </c>
      <c r="AF18" s="26"/>
    </row>
    <row r="19" spans="1:32" x14ac:dyDescent="0.25">
      <c r="A19" s="96" t="s">
        <v>985</v>
      </c>
      <c r="B19" s="97">
        <f t="shared" si="2"/>
        <v>91295.616118741091</v>
      </c>
      <c r="C19" s="97">
        <f t="shared" si="3"/>
        <v>91859.543572159717</v>
      </c>
      <c r="D19" s="97">
        <f t="shared" si="4"/>
        <v>92569.362645625151</v>
      </c>
      <c r="E19" s="97">
        <f t="shared" si="5"/>
        <v>93284.676483730698</v>
      </c>
      <c r="F19" s="97">
        <f t="shared" si="6"/>
        <v>94005.527697985759</v>
      </c>
      <c r="G19" s="97">
        <f t="shared" si="7"/>
        <v>94731.9592309906</v>
      </c>
      <c r="H19" s="97">
        <f t="shared" si="8"/>
        <v>95464.014358919652</v>
      </c>
      <c r="I19" s="97">
        <f t="shared" si="9"/>
        <v>96201.736694187595</v>
      </c>
      <c r="J19" s="97">
        <f t="shared" si="10"/>
        <v>96945.170188043019</v>
      </c>
      <c r="K19" s="97">
        <f t="shared" si="11"/>
        <v>97694.359133171849</v>
      </c>
      <c r="L19" s="97">
        <f t="shared" si="12"/>
        <v>93284.676483730698</v>
      </c>
      <c r="M19" s="96" t="s">
        <v>1004</v>
      </c>
      <c r="N19" s="96">
        <f>581-$AD$19</f>
        <v>562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18.42622950819672</v>
      </c>
      <c r="S19" s="97">
        <v>100000</v>
      </c>
      <c r="T19" s="97">
        <v>92000</v>
      </c>
      <c r="U19" s="97">
        <f t="shared" si="13"/>
        <v>126913.732535278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1083</v>
      </c>
      <c r="AD19">
        <v>19</v>
      </c>
      <c r="AF19" s="26"/>
    </row>
    <row r="20" spans="1:32" x14ac:dyDescent="0.25">
      <c r="A20" s="92" t="s">
        <v>978</v>
      </c>
      <c r="B20" s="93">
        <f>$S20/(1+($AC$2-$O20+$P20)/36500)^$N20</f>
        <v>98472.598742123257</v>
      </c>
      <c r="C20" s="93">
        <f t="shared" si="3"/>
        <v>99137.419106265646</v>
      </c>
      <c r="D20" s="93">
        <f t="shared" si="4"/>
        <v>99974.770311696979</v>
      </c>
      <c r="E20" s="93">
        <f t="shared" si="5"/>
        <v>100819.20571047079</v>
      </c>
      <c r="F20" s="93">
        <f t="shared" si="6"/>
        <v>101670.78533486287</v>
      </c>
      <c r="G20" s="93">
        <f t="shared" si="7"/>
        <v>102529.56972668583</v>
      </c>
      <c r="H20" s="93">
        <f t="shared" si="8"/>
        <v>103395.6199416516</v>
      </c>
      <c r="I20" s="93">
        <f t="shared" si="9"/>
        <v>104268.9975537001</v>
      </c>
      <c r="J20" s="93">
        <f t="shared" si="10"/>
        <v>105149.76465946504</v>
      </c>
      <c r="K20" s="93">
        <f t="shared" si="11"/>
        <v>106037.98388266796</v>
      </c>
      <c r="L20" s="93">
        <f t="shared" si="12"/>
        <v>100819.20571047079</v>
      </c>
      <c r="M20" s="92" t="s">
        <v>1005</v>
      </c>
      <c r="N20" s="92">
        <f>633-$AD$19</f>
        <v>614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20.131147540983605</v>
      </c>
      <c r="S20" s="93">
        <v>100000</v>
      </c>
      <c r="T20" s="93">
        <v>100000</v>
      </c>
      <c r="U20" s="93">
        <f t="shared" si="13"/>
        <v>141127.23726400771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971</v>
      </c>
      <c r="B21" s="95">
        <f t="shared" si="2"/>
        <v>98304.88177756434</v>
      </c>
      <c r="C21" s="95">
        <f t="shared" si="3"/>
        <v>99042.347791980879</v>
      </c>
      <c r="D21" s="95">
        <f t="shared" si="4"/>
        <v>99971.976535808761</v>
      </c>
      <c r="E21" s="95">
        <f t="shared" si="5"/>
        <v>100910.34385148462</v>
      </c>
      <c r="F21" s="95">
        <f t="shared" si="6"/>
        <v>101857.53200357508</v>
      </c>
      <c r="G21" s="95">
        <f t="shared" si="7"/>
        <v>102813.62403220676</v>
      </c>
      <c r="H21" s="95">
        <f t="shared" si="8"/>
        <v>103778.70376042268</v>
      </c>
      <c r="I21" s="95">
        <f t="shared" si="9"/>
        <v>104752.85580152931</v>
      </c>
      <c r="J21" s="95">
        <f t="shared" si="10"/>
        <v>105736.16556662504</v>
      </c>
      <c r="K21" s="95">
        <f t="shared" si="11"/>
        <v>106728.71927207717</v>
      </c>
      <c r="L21" s="95">
        <f t="shared" si="12"/>
        <v>100910.34385148462</v>
      </c>
      <c r="M21" s="94" t="s">
        <v>1006</v>
      </c>
      <c r="N21" s="94">
        <f>701-$AD$19</f>
        <v>682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22.360655737704917</v>
      </c>
      <c r="S21" s="95">
        <v>100000</v>
      </c>
      <c r="T21" s="95">
        <v>100000</v>
      </c>
      <c r="U21" s="95">
        <f t="shared" si="13"/>
        <v>146615.57854821239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986</v>
      </c>
      <c r="B22" s="97">
        <f t="shared" si="2"/>
        <v>92677.59316180223</v>
      </c>
      <c r="C22" s="97">
        <f t="shared" si="3"/>
        <v>93400.416277821147</v>
      </c>
      <c r="D22" s="97">
        <f t="shared" si="4"/>
        <v>94311.889393608959</v>
      </c>
      <c r="E22" s="97">
        <f t="shared" si="5"/>
        <v>95232.270033403562</v>
      </c>
      <c r="F22" s="97">
        <f t="shared" si="6"/>
        <v>96161.645371298961</v>
      </c>
      <c r="G22" s="97">
        <f t="shared" si="7"/>
        <v>97100.103435698984</v>
      </c>
      <c r="H22" s="97">
        <f t="shared" si="8"/>
        <v>98047.733117779833</v>
      </c>
      <c r="I22" s="97">
        <f t="shared" si="9"/>
        <v>99004.624179866427</v>
      </c>
      <c r="J22" s="97">
        <f t="shared" si="10"/>
        <v>99970.867264095243</v>
      </c>
      <c r="K22" s="97">
        <f t="shared" si="11"/>
        <v>100946.55390093163</v>
      </c>
      <c r="L22" s="97">
        <f t="shared" si="12"/>
        <v>95232.270033403562</v>
      </c>
      <c r="M22" s="96" t="s">
        <v>1035</v>
      </c>
      <c r="N22" s="96">
        <f>728-$AD$19</f>
        <v>709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23.245901639344261</v>
      </c>
      <c r="S22" s="97">
        <v>100000</v>
      </c>
      <c r="T22" s="97">
        <v>95000</v>
      </c>
      <c r="U22" s="97">
        <f t="shared" si="13"/>
        <v>140427.67528858813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987</v>
      </c>
      <c r="B23" s="93">
        <f t="shared" si="2"/>
        <v>89973.845304561881</v>
      </c>
      <c r="C23" s="93">
        <f t="shared" si="3"/>
        <v>90618.927792416973</v>
      </c>
      <c r="D23" s="93">
        <f t="shared" si="4"/>
        <v>91431.79879137376</v>
      </c>
      <c r="E23" s="93">
        <f t="shared" si="5"/>
        <v>92251.972699457197</v>
      </c>
      <c r="F23" s="93">
        <f t="shared" si="6"/>
        <v>93079.515228032527</v>
      </c>
      <c r="G23" s="93">
        <f t="shared" si="7"/>
        <v>93914.492680705094</v>
      </c>
      <c r="H23" s="93">
        <f t="shared" si="8"/>
        <v>94756.971958558192</v>
      </c>
      <c r="I23" s="93">
        <f t="shared" si="9"/>
        <v>95607.020565626299</v>
      </c>
      <c r="J23" s="93">
        <f t="shared" si="10"/>
        <v>96464.706614310839</v>
      </c>
      <c r="K23" s="93">
        <f t="shared" si="11"/>
        <v>97330.098830832052</v>
      </c>
      <c r="L23" s="93">
        <f t="shared" si="12"/>
        <v>92251.972699457197</v>
      </c>
      <c r="M23" s="92" t="s">
        <v>1007</v>
      </c>
      <c r="N23" s="92">
        <f>671-$AD$19</f>
        <v>652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21.377049180327869</v>
      </c>
      <c r="S23" s="93">
        <v>100000</v>
      </c>
      <c r="T23" s="93">
        <v>90600</v>
      </c>
      <c r="U23" s="93">
        <f t="shared" si="13"/>
        <v>131851.395274626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974</v>
      </c>
      <c r="AD23" t="s">
        <v>1084</v>
      </c>
      <c r="AE23" s="25"/>
      <c r="AF23" s="26"/>
    </row>
    <row r="24" spans="1:32" x14ac:dyDescent="0.25">
      <c r="A24" s="94" t="s">
        <v>988</v>
      </c>
      <c r="B24" s="95">
        <f t="shared" si="2"/>
        <v>83222.297977655369</v>
      </c>
      <c r="C24" s="95">
        <f t="shared" si="3"/>
        <v>84107.829769264994</v>
      </c>
      <c r="D24" s="95">
        <f>$S24/(1+($AC$4-$O24+$P24)/36500)^$N24</f>
        <v>85228.020600211617</v>
      </c>
      <c r="E24" s="95">
        <f t="shared" si="5"/>
        <v>86363.146352116659</v>
      </c>
      <c r="F24" s="95">
        <f t="shared" si="6"/>
        <v>87513.406353170663</v>
      </c>
      <c r="G24" s="95">
        <f t="shared" si="7"/>
        <v>88679.002594696649</v>
      </c>
      <c r="H24" s="95">
        <f t="shared" si="8"/>
        <v>89860.139766664826</v>
      </c>
      <c r="I24" s="95">
        <f t="shared" si="9"/>
        <v>91057.025293955332</v>
      </c>
      <c r="J24" s="95">
        <f t="shared" si="10"/>
        <v>92269.869372761619</v>
      </c>
      <c r="K24" s="95">
        <f t="shared" si="11"/>
        <v>93498.885007807665</v>
      </c>
      <c r="L24" s="95">
        <f t="shared" si="12"/>
        <v>86363.146352116659</v>
      </c>
      <c r="M24" s="94" t="s">
        <v>1008</v>
      </c>
      <c r="N24" s="94">
        <f>985-$AD$19</f>
        <v>966</v>
      </c>
      <c r="O24" s="94">
        <v>15</v>
      </c>
      <c r="P24" s="94">
        <f>$AI$2</f>
        <v>0.54</v>
      </c>
      <c r="Q24" s="94">
        <v>6</v>
      </c>
      <c r="R24" s="94">
        <f t="shared" si="0"/>
        <v>31.672131147540984</v>
      </c>
      <c r="S24" s="95">
        <v>100000</v>
      </c>
      <c r="T24" s="95">
        <v>85800</v>
      </c>
      <c r="U24" s="95">
        <f t="shared" si="13"/>
        <v>146601.27311688935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962</v>
      </c>
      <c r="B25" s="97">
        <f t="shared" si="2"/>
        <v>81739.847832809493</v>
      </c>
      <c r="C25" s="97">
        <f t="shared" si="3"/>
        <v>82048.397879765544</v>
      </c>
      <c r="D25" s="97">
        <f t="shared" si="4"/>
        <v>82435.728609053331</v>
      </c>
      <c r="E25" s="97">
        <f t="shared" si="5"/>
        <v>82824.89317398984</v>
      </c>
      <c r="F25" s="97">
        <f t="shared" si="6"/>
        <v>83215.90028225127</v>
      </c>
      <c r="G25" s="97">
        <f t="shared" si="7"/>
        <v>83608.758682962274</v>
      </c>
      <c r="H25" s="97">
        <f t="shared" si="8"/>
        <v>84003.477166931116</v>
      </c>
      <c r="I25" s="97">
        <f t="shared" si="9"/>
        <v>84400.064566815417</v>
      </c>
      <c r="J25" s="97">
        <f t="shared" si="10"/>
        <v>84798.529757342985</v>
      </c>
      <c r="K25" s="97">
        <f t="shared" si="11"/>
        <v>85198.881655517805</v>
      </c>
      <c r="L25" s="97">
        <f t="shared" si="12"/>
        <v>82824.89317398984</v>
      </c>
      <c r="M25" s="96" t="s">
        <v>1009</v>
      </c>
      <c r="N25" s="96">
        <f>363-$AD$19</f>
        <v>344</v>
      </c>
      <c r="O25" s="96">
        <v>0</v>
      </c>
      <c r="P25" s="96">
        <v>0</v>
      </c>
      <c r="Q25" s="96">
        <v>0</v>
      </c>
      <c r="R25" s="96">
        <f t="shared" si="0"/>
        <v>11.278688524590164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997</v>
      </c>
      <c r="B26" s="93">
        <f t="shared" si="2"/>
        <v>93567.251592184126</v>
      </c>
      <c r="C26" s="93">
        <f t="shared" si="3"/>
        <v>94858.791603280944</v>
      </c>
      <c r="D26" s="93">
        <f t="shared" si="4"/>
        <v>96498.335770030797</v>
      </c>
      <c r="E26" s="93">
        <f t="shared" si="5"/>
        <v>98166.240944851044</v>
      </c>
      <c r="F26" s="93">
        <f t="shared" si="6"/>
        <v>99862.998118098301</v>
      </c>
      <c r="G26" s="93">
        <f t="shared" si="7"/>
        <v>101589.10678709007</v>
      </c>
      <c r="H26" s="93">
        <f t="shared" si="8"/>
        <v>103345.07510369996</v>
      </c>
      <c r="I26" s="93">
        <f t="shared" si="9"/>
        <v>105131.42002437479</v>
      </c>
      <c r="J26" s="93">
        <f t="shared" si="10"/>
        <v>106948.66746281444</v>
      </c>
      <c r="K26" s="93">
        <f t="shared" si="11"/>
        <v>108797.3524453609</v>
      </c>
      <c r="L26" s="93">
        <f t="shared" si="12"/>
        <v>98166.240944851044</v>
      </c>
      <c r="M26" s="92" t="s">
        <v>1000</v>
      </c>
      <c r="N26" s="92">
        <f>1270-$AD$19</f>
        <v>1251</v>
      </c>
      <c r="O26" s="92">
        <v>20</v>
      </c>
      <c r="P26" s="92">
        <f>$AI$2</f>
        <v>0.54</v>
      </c>
      <c r="Q26" s="92">
        <v>6</v>
      </c>
      <c r="R26" s="92">
        <f t="shared" si="0"/>
        <v>41.016393442622949</v>
      </c>
      <c r="S26" s="93">
        <v>100000</v>
      </c>
      <c r="T26" s="93">
        <v>100000</v>
      </c>
      <c r="U26" s="93">
        <f t="shared" si="13"/>
        <v>194791.26096577218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1001</v>
      </c>
      <c r="B27" s="95">
        <f t="shared" si="2"/>
        <v>100078.04422813958</v>
      </c>
      <c r="C27" s="95">
        <f t="shared" si="3"/>
        <v>100446.13216330147</v>
      </c>
      <c r="D27" s="95">
        <f t="shared" si="4"/>
        <v>100908.15219905232</v>
      </c>
      <c r="E27" s="95">
        <f t="shared" si="5"/>
        <v>101372.30375195396</v>
      </c>
      <c r="F27" s="95">
        <f t="shared" si="6"/>
        <v>101838.59668511109</v>
      </c>
      <c r="G27" s="95">
        <f t="shared" si="7"/>
        <v>102307.04090738948</v>
      </c>
      <c r="H27" s="95">
        <f t="shared" si="8"/>
        <v>102777.64637366115</v>
      </c>
      <c r="I27" s="95">
        <f t="shared" si="9"/>
        <v>103250.42308499156</v>
      </c>
      <c r="J27" s="95">
        <f t="shared" si="10"/>
        <v>103725.3810888626</v>
      </c>
      <c r="K27" s="95">
        <f t="shared" si="11"/>
        <v>104202.53047939226</v>
      </c>
      <c r="L27" s="95">
        <f t="shared" si="12"/>
        <v>101372.30375195396</v>
      </c>
      <c r="M27" s="94" t="s">
        <v>1002</v>
      </c>
      <c r="N27" s="94">
        <f>354-$AD$19</f>
        <v>335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10.983606557377049</v>
      </c>
      <c r="S27" s="95">
        <v>100000</v>
      </c>
      <c r="T27" s="95">
        <v>103000</v>
      </c>
      <c r="U27" s="95">
        <f t="shared" si="13"/>
        <v>121790.66706712022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1027</v>
      </c>
      <c r="B28" s="97">
        <f t="shared" si="2"/>
        <v>99174.933897654118</v>
      </c>
      <c r="C28" s="97">
        <f t="shared" si="3"/>
        <v>100000</v>
      </c>
      <c r="D28" s="97">
        <f t="shared" si="4"/>
        <v>101041.0046722604</v>
      </c>
      <c r="E28" s="97">
        <f t="shared" si="5"/>
        <v>102092.86073561969</v>
      </c>
      <c r="F28" s="97">
        <f t="shared" si="6"/>
        <v>103155.68145554153</v>
      </c>
      <c r="G28" s="97">
        <f t="shared" si="7"/>
        <v>104229.58128127418</v>
      </c>
      <c r="H28" s="97">
        <f t="shared" si="8"/>
        <v>105314.67585834397</v>
      </c>
      <c r="I28" s="97">
        <f t="shared" si="9"/>
        <v>106411.08204096225</v>
      </c>
      <c r="J28" s="97">
        <f t="shared" si="10"/>
        <v>107518.91790474993</v>
      </c>
      <c r="K28" s="97">
        <f t="shared" si="11"/>
        <v>108638.30275947919</v>
      </c>
      <c r="L28" s="97">
        <f t="shared" si="12"/>
        <v>102092.86073561969</v>
      </c>
      <c r="M28" s="96" t="s">
        <v>1028</v>
      </c>
      <c r="N28" s="96">
        <f>775-$AD$19</f>
        <v>756</v>
      </c>
      <c r="O28" s="96">
        <v>21</v>
      </c>
      <c r="P28" s="96">
        <v>0</v>
      </c>
      <c r="Q28" s="96">
        <v>1</v>
      </c>
      <c r="R28" s="96">
        <f t="shared" si="0"/>
        <v>24.78688524590164</v>
      </c>
      <c r="S28" s="97">
        <v>100000</v>
      </c>
      <c r="T28" s="97">
        <v>104000</v>
      </c>
      <c r="U28" s="97">
        <f t="shared" si="13"/>
        <v>154469.89902301729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1078</v>
      </c>
      <c r="B29" s="93">
        <f t="shared" si="2"/>
        <v>83731.302007733393</v>
      </c>
      <c r="C29" s="93">
        <f t="shared" si="3"/>
        <v>84943.735449286236</v>
      </c>
      <c r="D29" s="93">
        <f t="shared" si="4"/>
        <v>86484.014380976587</v>
      </c>
      <c r="E29" s="93">
        <f t="shared" si="5"/>
        <v>88052.244758634974</v>
      </c>
      <c r="F29" s="93">
        <f t="shared" si="6"/>
        <v>89648.934210492836</v>
      </c>
      <c r="G29" s="93">
        <f t="shared" si="7"/>
        <v>91274.599591085498</v>
      </c>
      <c r="H29" s="93">
        <f t="shared" si="8"/>
        <v>92929.767148998755</v>
      </c>
      <c r="I29" s="93">
        <f t="shared" si="9"/>
        <v>94614.972697590623</v>
      </c>
      <c r="J29" s="93">
        <f t="shared" si="10"/>
        <v>96330.76178929754</v>
      </c>
      <c r="K29" s="93">
        <f t="shared" si="11"/>
        <v>98077.689892445545</v>
      </c>
      <c r="L29" s="93">
        <f t="shared" si="12"/>
        <v>88052.244758634974</v>
      </c>
      <c r="M29" s="92" t="s">
        <v>1079</v>
      </c>
      <c r="N29" s="92">
        <f>1331-$AD$19</f>
        <v>1312</v>
      </c>
      <c r="O29" s="92">
        <v>17</v>
      </c>
      <c r="P29" s="92">
        <f>AI2</f>
        <v>0.54</v>
      </c>
      <c r="Q29" s="92">
        <v>6</v>
      </c>
      <c r="R29" s="92">
        <f t="shared" si="0"/>
        <v>43.016393442622949</v>
      </c>
      <c r="S29" s="93">
        <v>100000</v>
      </c>
      <c r="T29" s="93"/>
      <c r="U29" s="93">
        <f t="shared" si="13"/>
        <v>180659.64956905731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1158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1159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1160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1091</v>
      </c>
    </row>
    <row r="2" spans="1:1" x14ac:dyDescent="0.25">
      <c r="A2" t="s">
        <v>1092</v>
      </c>
    </row>
    <row r="3" spans="1:1" x14ac:dyDescent="0.25">
      <c r="A3" t="s">
        <v>1093</v>
      </c>
    </row>
    <row r="4" spans="1:1" x14ac:dyDescent="0.25">
      <c r="A4" t="s">
        <v>1094</v>
      </c>
    </row>
    <row r="5" spans="1:1" x14ac:dyDescent="0.25">
      <c r="A5" t="s">
        <v>1095</v>
      </c>
    </row>
    <row r="6" spans="1:1" x14ac:dyDescent="0.25">
      <c r="A6" t="s">
        <v>1138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871</v>
      </c>
      <c r="N6" t="s">
        <v>1101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1102</v>
      </c>
      <c r="L10" s="34">
        <v>410021484671</v>
      </c>
      <c r="M10" s="33" t="s">
        <v>1103</v>
      </c>
      <c r="N10" t="s">
        <v>1105</v>
      </c>
      <c r="O10" t="s">
        <v>1106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725</v>
      </c>
      <c r="B83" s="38">
        <v>50000000</v>
      </c>
      <c r="C83" s="11" t="s">
        <v>728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723</v>
      </c>
      <c r="B84" s="38">
        <v>30000000</v>
      </c>
      <c r="C84" s="11" t="s">
        <v>729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723</v>
      </c>
      <c r="B85" s="38">
        <v>-72500000</v>
      </c>
      <c r="C85" s="11" t="s">
        <v>730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731</v>
      </c>
      <c r="B86" s="38">
        <v>-281000</v>
      </c>
      <c r="C86" s="11" t="s">
        <v>743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736</v>
      </c>
      <c r="B87" s="38">
        <v>2500000</v>
      </c>
      <c r="C87" s="11" t="s">
        <v>740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741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748</v>
      </c>
      <c r="B89" s="38">
        <v>15000000</v>
      </c>
      <c r="C89" s="11" t="s">
        <v>749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783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827</v>
      </c>
      <c r="B91" s="38">
        <v>272155</v>
      </c>
      <c r="C91" s="11" t="s">
        <v>829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868</v>
      </c>
      <c r="B92" s="38">
        <v>3000000</v>
      </c>
      <c r="C92" s="11" t="s">
        <v>870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868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877</v>
      </c>
      <c r="B94" s="38">
        <v>5500000</v>
      </c>
      <c r="C94" s="11" t="s">
        <v>878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879</v>
      </c>
      <c r="B95" s="38">
        <v>3000000</v>
      </c>
      <c r="C95" s="11" t="s">
        <v>880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881</v>
      </c>
      <c r="B96" s="38">
        <v>3000000</v>
      </c>
      <c r="C96" s="11" t="s">
        <v>882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883</v>
      </c>
      <c r="B97" s="38">
        <v>3000000</v>
      </c>
      <c r="C97" s="11" t="s">
        <v>884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885</v>
      </c>
      <c r="B98" s="38">
        <v>3000000</v>
      </c>
      <c r="C98" s="11" t="s">
        <v>886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887</v>
      </c>
      <c r="B99" s="38">
        <v>3000000</v>
      </c>
      <c r="C99" s="11" t="s">
        <v>888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889</v>
      </c>
      <c r="B100" s="38">
        <v>999500</v>
      </c>
      <c r="C100" s="11" t="s">
        <v>903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902</v>
      </c>
      <c r="B101" s="38">
        <v>-1986700</v>
      </c>
      <c r="C101" s="73" t="s">
        <v>904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906</v>
      </c>
      <c r="B102" s="38">
        <v>3000000</v>
      </c>
      <c r="C102" s="73" t="s">
        <v>907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1046</v>
      </c>
      <c r="B103" s="38">
        <v>295500</v>
      </c>
      <c r="C103" s="73" t="s">
        <v>1047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931</v>
      </c>
      <c r="B104" s="38">
        <v>-10000</v>
      </c>
      <c r="C104" s="73" t="s">
        <v>937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939</v>
      </c>
      <c r="B105" s="38">
        <v>1999000</v>
      </c>
      <c r="C105" s="73" t="s">
        <v>940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958</v>
      </c>
      <c r="B106" s="38">
        <v>-60000000</v>
      </c>
      <c r="C106" s="73" t="s">
        <v>1042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958</v>
      </c>
      <c r="B107" s="38">
        <v>5850000</v>
      </c>
      <c r="C107" s="73" t="s">
        <v>1044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1051</v>
      </c>
      <c r="B108" s="38">
        <v>3000000</v>
      </c>
      <c r="C108" s="73" t="s">
        <v>1061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1062</v>
      </c>
      <c r="B109" s="38">
        <v>2000000</v>
      </c>
      <c r="C109" s="73" t="s">
        <v>1061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1062</v>
      </c>
      <c r="B110" s="38">
        <v>-5000000</v>
      </c>
      <c r="C110" s="73" t="s">
        <v>1042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1068</v>
      </c>
      <c r="B111" s="38">
        <v>412668</v>
      </c>
      <c r="C111" s="73" t="s">
        <v>1069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1107</v>
      </c>
      <c r="B112" s="38">
        <v>42000000</v>
      </c>
      <c r="C112" s="73" t="s">
        <v>1108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1126</v>
      </c>
      <c r="B113" s="38">
        <v>-25000000</v>
      </c>
      <c r="C113" s="73" t="s">
        <v>1131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1128</v>
      </c>
      <c r="B114" s="38">
        <v>-200000</v>
      </c>
      <c r="C114" s="73" t="s">
        <v>1153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1161</v>
      </c>
      <c r="B115" s="38">
        <v>-18000000</v>
      </c>
      <c r="C115" s="73" t="s">
        <v>1162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1163</v>
      </c>
      <c r="B116" s="38">
        <v>-2500000</v>
      </c>
      <c r="C116" s="73" t="s">
        <v>1162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872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936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936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936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936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936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936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936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936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936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814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920</v>
      </c>
      <c r="B13" s="3">
        <v>436</v>
      </c>
      <c r="C13" s="11" t="s">
        <v>829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832</v>
      </c>
      <c r="B14" s="3">
        <v>1000000</v>
      </c>
      <c r="C14" s="11" t="s">
        <v>835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837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837</v>
      </c>
      <c r="B16" s="3">
        <v>-70600</v>
      </c>
      <c r="C16" s="11" t="s">
        <v>838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837</v>
      </c>
      <c r="B17" s="3">
        <v>-450030</v>
      </c>
      <c r="C17" s="11" t="s">
        <v>839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840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843</v>
      </c>
      <c r="B19" s="3">
        <v>-26000</v>
      </c>
      <c r="C19" s="11" t="s">
        <v>844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848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850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853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856</v>
      </c>
      <c r="B23" s="3">
        <v>-95500</v>
      </c>
      <c r="C23" s="11" t="s">
        <v>857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858</v>
      </c>
      <c r="B24" s="3">
        <v>2000000</v>
      </c>
      <c r="C24" s="11" t="s">
        <v>859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858</v>
      </c>
      <c r="B25" s="3">
        <v>-131450</v>
      </c>
      <c r="C25" s="11" t="s">
        <v>861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863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864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865</v>
      </c>
      <c r="B28" s="3">
        <v>-180500</v>
      </c>
      <c r="C28" s="11" t="s">
        <v>866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868</v>
      </c>
      <c r="B29" s="35">
        <v>7117</v>
      </c>
      <c r="C29" s="11" t="s">
        <v>875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883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889</v>
      </c>
      <c r="B31" s="3">
        <v>-47053</v>
      </c>
      <c r="C31" s="11" t="s">
        <v>890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891</v>
      </c>
      <c r="B32" s="3">
        <v>-33870</v>
      </c>
      <c r="C32" s="11" t="s">
        <v>892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893</v>
      </c>
      <c r="B33" s="3">
        <v>-22000</v>
      </c>
      <c r="C33" s="11" t="s">
        <v>894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893</v>
      </c>
      <c r="B34" s="3">
        <v>-250000</v>
      </c>
      <c r="C34" s="11" t="s">
        <v>895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893</v>
      </c>
      <c r="B35" s="3">
        <v>-650500</v>
      </c>
      <c r="C35" s="11" t="s">
        <v>896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897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898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921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922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923</v>
      </c>
      <c r="B40" s="3">
        <v>-30000</v>
      </c>
      <c r="C40" s="11" t="s">
        <v>924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906</v>
      </c>
      <c r="B41" s="3">
        <v>7481</v>
      </c>
      <c r="C41" s="11" t="s">
        <v>925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909</v>
      </c>
      <c r="B42" s="3">
        <v>1000000</v>
      </c>
      <c r="C42" s="11" t="s">
        <v>910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926</v>
      </c>
      <c r="B43" s="3">
        <v>-39330</v>
      </c>
      <c r="C43" s="11" t="s">
        <v>912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927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911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913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928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929</v>
      </c>
      <c r="B48" s="3">
        <v>-83000</v>
      </c>
      <c r="C48" s="11" t="s">
        <v>930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931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932</v>
      </c>
      <c r="B50" s="3">
        <v>-180000</v>
      </c>
      <c r="C50" s="11" t="s">
        <v>933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934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935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945</v>
      </c>
      <c r="B53" s="3">
        <v>-22000</v>
      </c>
      <c r="C53" s="11" t="s">
        <v>946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939</v>
      </c>
      <c r="B54" s="3">
        <v>999000</v>
      </c>
      <c r="C54" s="11" t="s">
        <v>943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939</v>
      </c>
      <c r="B55" s="3">
        <v>106900</v>
      </c>
      <c r="C55" s="11" t="s">
        <v>944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939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950</v>
      </c>
      <c r="B57" s="3">
        <v>-18400</v>
      </c>
      <c r="C57" s="11" t="s">
        <v>890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959</v>
      </c>
      <c r="B58" s="3">
        <v>-457777</v>
      </c>
      <c r="C58" s="11" t="s">
        <v>952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1072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1051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1068</v>
      </c>
      <c r="B61" s="3">
        <v>4172</v>
      </c>
      <c r="C61" s="11" t="s">
        <v>1070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1074</v>
      </c>
      <c r="B62" s="3">
        <v>-161000</v>
      </c>
      <c r="C62" s="11" t="s">
        <v>1082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1087</v>
      </c>
      <c r="B63" s="3">
        <v>-149505</v>
      </c>
      <c r="C63" s="11" t="s">
        <v>1088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1100</v>
      </c>
      <c r="B64" s="3">
        <v>-4940</v>
      </c>
      <c r="C64" s="11" t="s">
        <v>1104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721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723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724</v>
      </c>
    </row>
    <row r="153" spans="1:11" x14ac:dyDescent="0.25">
      <c r="A153" s="11" t="s">
        <v>731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732</v>
      </c>
    </row>
    <row r="154" spans="1:11" x14ac:dyDescent="0.25">
      <c r="A154" s="11" t="s">
        <v>731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733</v>
      </c>
    </row>
    <row r="155" spans="1:11" x14ac:dyDescent="0.25">
      <c r="A155" s="11" t="s">
        <v>736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737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738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739</v>
      </c>
    </row>
    <row r="158" spans="1:11" x14ac:dyDescent="0.25">
      <c r="A158" s="11" t="s">
        <v>759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753</v>
      </c>
    </row>
    <row r="159" spans="1:11" x14ac:dyDescent="0.25">
      <c r="A159" s="11" t="s">
        <v>759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766</v>
      </c>
    </row>
    <row r="160" spans="1:11" x14ac:dyDescent="0.25">
      <c r="A160" s="11" t="s">
        <v>767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768</v>
      </c>
    </row>
    <row r="161" spans="1:7" x14ac:dyDescent="0.25">
      <c r="A161" s="11" t="s">
        <v>774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768</v>
      </c>
    </row>
    <row r="162" spans="1:7" x14ac:dyDescent="0.25">
      <c r="A162" s="11" t="s">
        <v>776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768</v>
      </c>
    </row>
    <row r="163" spans="1:7" x14ac:dyDescent="0.25">
      <c r="A163" s="11" t="s">
        <v>777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768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781</v>
      </c>
    </row>
    <row r="165" spans="1:7" x14ac:dyDescent="0.25">
      <c r="A165" s="11" t="s">
        <v>786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787</v>
      </c>
    </row>
    <row r="166" spans="1:7" x14ac:dyDescent="0.25">
      <c r="A166" s="11" t="s">
        <v>786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788</v>
      </c>
    </row>
    <row r="167" spans="1:7" x14ac:dyDescent="0.25">
      <c r="A167" s="11" t="s">
        <v>801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803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805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810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810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811</v>
      </c>
    </row>
    <row r="172" spans="1:7" x14ac:dyDescent="0.25">
      <c r="A172" s="11" t="s">
        <v>813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813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816</v>
      </c>
    </row>
    <row r="174" spans="1:7" x14ac:dyDescent="0.25">
      <c r="A174" s="11" t="s">
        <v>814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817</v>
      </c>
    </row>
    <row r="175" spans="1:7" x14ac:dyDescent="0.25">
      <c r="A175" s="11" t="s">
        <v>814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818</v>
      </c>
    </row>
    <row r="176" spans="1:7" x14ac:dyDescent="0.25">
      <c r="A176" s="11" t="s">
        <v>822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768</v>
      </c>
    </row>
    <row r="177" spans="1:7" x14ac:dyDescent="0.25">
      <c r="A177" s="11" t="s">
        <v>822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823</v>
      </c>
    </row>
    <row r="178" spans="1:7" x14ac:dyDescent="0.25">
      <c r="A178" s="11" t="s">
        <v>824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827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832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836</v>
      </c>
    </row>
    <row r="181" spans="1:7" x14ac:dyDescent="0.25">
      <c r="A181" s="11" t="s">
        <v>845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846</v>
      </c>
    </row>
    <row r="182" spans="1:7" x14ac:dyDescent="0.25">
      <c r="A182" s="11" t="s">
        <v>858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860</v>
      </c>
    </row>
    <row r="183" spans="1:7" x14ac:dyDescent="0.25">
      <c r="A183" s="11" t="s">
        <v>868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906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931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937</v>
      </c>
    </row>
    <row r="186" spans="1:7" x14ac:dyDescent="0.25">
      <c r="A186" s="11" t="s">
        <v>950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1052</v>
      </c>
    </row>
    <row r="187" spans="1:7" x14ac:dyDescent="0.25">
      <c r="A187" s="11" t="s">
        <v>1051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1052</v>
      </c>
    </row>
    <row r="188" spans="1:7" x14ac:dyDescent="0.25">
      <c r="A188" s="11" t="s">
        <v>1051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1063</v>
      </c>
    </row>
    <row r="189" spans="1:7" x14ac:dyDescent="0.25">
      <c r="A189" s="11" t="s">
        <v>1062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1063</v>
      </c>
    </row>
    <row r="190" spans="1:7" x14ac:dyDescent="0.25">
      <c r="A190" s="11" t="s">
        <v>1062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1052</v>
      </c>
    </row>
    <row r="191" spans="1:7" x14ac:dyDescent="0.25">
      <c r="A191" s="11" t="s">
        <v>1068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1070</v>
      </c>
    </row>
    <row r="192" spans="1:7" x14ac:dyDescent="0.25">
      <c r="A192" s="11" t="s">
        <v>1096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1097</v>
      </c>
    </row>
    <row r="193" spans="1:7" x14ac:dyDescent="0.25">
      <c r="A193" s="11" t="s">
        <v>1107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1108</v>
      </c>
    </row>
    <row r="194" spans="1:7" x14ac:dyDescent="0.25">
      <c r="A194" s="11" t="s">
        <v>1126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1132</v>
      </c>
    </row>
    <row r="195" spans="1:7" x14ac:dyDescent="0.25">
      <c r="A195" s="11" t="s">
        <v>1126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1133</v>
      </c>
    </row>
    <row r="196" spans="1:7" x14ac:dyDescent="0.25">
      <c r="A196" s="11" t="s">
        <v>1126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1134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C1" zoomScaleNormal="100" workbookViewId="0">
      <selection activeCell="L27" sqref="L2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953</v>
      </c>
      <c r="N1" s="11" t="s">
        <v>452</v>
      </c>
      <c r="O1" s="11" t="s">
        <v>754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957</v>
      </c>
      <c r="S2" s="29" t="s">
        <v>723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760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714</v>
      </c>
      <c r="N3" s="29">
        <v>46000000</v>
      </c>
      <c r="O3" s="29">
        <v>40000000</v>
      </c>
      <c r="P3" s="11" t="s">
        <v>955</v>
      </c>
      <c r="S3" s="29" t="s">
        <v>759</v>
      </c>
      <c r="T3" s="29">
        <v>6000000</v>
      </c>
      <c r="U3" s="11">
        <v>25</v>
      </c>
      <c r="V3" s="29">
        <f t="shared" si="1"/>
        <v>150000000</v>
      </c>
      <c r="W3" s="11" t="s">
        <v>761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786</v>
      </c>
      <c r="T4" s="29">
        <v>3500000</v>
      </c>
      <c r="U4" s="11">
        <v>19</v>
      </c>
      <c r="V4" s="29">
        <f t="shared" si="1"/>
        <v>66500000</v>
      </c>
      <c r="W4" s="11" t="s">
        <v>789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715</v>
      </c>
      <c r="N5" s="29">
        <v>27000000</v>
      </c>
      <c r="O5" s="29">
        <v>41000000</v>
      </c>
      <c r="P5" s="11" t="s">
        <v>715</v>
      </c>
      <c r="S5" s="29" t="s">
        <v>812</v>
      </c>
      <c r="T5" s="29">
        <v>500000</v>
      </c>
      <c r="U5" s="11">
        <v>3</v>
      </c>
      <c r="V5" s="29">
        <f t="shared" si="1"/>
        <v>1500000</v>
      </c>
      <c r="W5" s="11" t="s">
        <v>815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-L58*12</f>
        <v>-37560000</v>
      </c>
      <c r="O6" s="29">
        <v>-25000000</v>
      </c>
      <c r="P6" s="11" t="s">
        <v>956</v>
      </c>
      <c r="S6" s="29" t="s">
        <v>814</v>
      </c>
      <c r="T6" s="29">
        <v>-2500000</v>
      </c>
      <c r="U6" s="11">
        <v>1</v>
      </c>
      <c r="V6" s="29">
        <f t="shared" si="1"/>
        <v>-2500000</v>
      </c>
      <c r="W6" s="11" t="s">
        <v>819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720</v>
      </c>
      <c r="M7" s="11" t="s">
        <v>716</v>
      </c>
      <c r="N7" s="29">
        <v>57000000</v>
      </c>
      <c r="O7" s="29"/>
      <c r="P7" s="11"/>
      <c r="S7" s="29" t="s">
        <v>820</v>
      </c>
      <c r="T7" s="29">
        <v>-5800000</v>
      </c>
      <c r="U7" s="11">
        <v>2</v>
      </c>
      <c r="V7" s="29">
        <f t="shared" si="1"/>
        <v>-11600000</v>
      </c>
      <c r="W7" s="11" t="s">
        <v>821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954</v>
      </c>
      <c r="N8" s="29">
        <f>L55*12</f>
        <v>9960000</v>
      </c>
      <c r="O8" s="29"/>
      <c r="P8" s="11"/>
      <c r="S8" s="29" t="s">
        <v>824</v>
      </c>
      <c r="T8" s="29">
        <v>-7500000</v>
      </c>
      <c r="U8" s="11">
        <v>4</v>
      </c>
      <c r="V8" s="29">
        <f t="shared" si="1"/>
        <v>-30000000</v>
      </c>
      <c r="W8" s="11" t="s">
        <v>825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735</v>
      </c>
      <c r="M9" s="11" t="s">
        <v>25</v>
      </c>
      <c r="N9" s="29"/>
      <c r="O9" s="29"/>
      <c r="P9" s="11"/>
      <c r="S9" s="29" t="s">
        <v>832</v>
      </c>
      <c r="T9" s="29">
        <v>-8500000</v>
      </c>
      <c r="U9" s="11">
        <v>7</v>
      </c>
      <c r="V9" s="29">
        <f>T9*U9</f>
        <v>-59500000</v>
      </c>
      <c r="W9" s="11" t="s">
        <v>834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785</v>
      </c>
      <c r="M10" s="11" t="s">
        <v>718</v>
      </c>
      <c r="N10" s="29">
        <f>SUM(N2:N6)</f>
        <v>126440000</v>
      </c>
      <c r="O10" s="29"/>
      <c r="P10" s="11"/>
      <c r="S10" s="29" t="s">
        <v>845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847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831</v>
      </c>
      <c r="M11" s="11" t="s">
        <v>719</v>
      </c>
      <c r="N11" s="29">
        <f>SUM(N2:N9)</f>
        <v>193400000</v>
      </c>
      <c r="O11" s="29">
        <f>SUM(O2:O9)</f>
        <v>210000000</v>
      </c>
      <c r="P11" s="11"/>
      <c r="S11" s="29" t="s">
        <v>868</v>
      </c>
      <c r="T11" s="29">
        <v>-7500000</v>
      </c>
      <c r="U11" s="11">
        <v>30</v>
      </c>
      <c r="V11" s="29">
        <f t="shared" si="5"/>
        <v>-225000000</v>
      </c>
      <c r="W11" s="75" t="s">
        <v>869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876</v>
      </c>
      <c r="S12" s="29" t="s">
        <v>906</v>
      </c>
      <c r="T12" s="29">
        <v>-4500000</v>
      </c>
      <c r="U12" s="11">
        <v>21</v>
      </c>
      <c r="V12" s="29">
        <f t="shared" si="5"/>
        <v>-94500000</v>
      </c>
      <c r="W12" s="11" t="s">
        <v>947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914</v>
      </c>
      <c r="O13" t="s">
        <v>25</v>
      </c>
      <c r="S13" s="29" t="s">
        <v>939</v>
      </c>
      <c r="T13" s="29">
        <v>-3500000</v>
      </c>
      <c r="U13" s="11">
        <v>5</v>
      </c>
      <c r="V13" s="29">
        <f t="shared" si="5"/>
        <v>-17500000</v>
      </c>
      <c r="W13" s="11" t="s">
        <v>948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1098</v>
      </c>
      <c r="L14" s="25"/>
      <c r="O14" s="25"/>
      <c r="R14" s="25"/>
      <c r="S14" s="29" t="s">
        <v>958</v>
      </c>
      <c r="T14" s="29">
        <v>-500000</v>
      </c>
      <c r="U14" s="11">
        <v>100</v>
      </c>
      <c r="V14" s="29">
        <f t="shared" si="5"/>
        <v>-50000000</v>
      </c>
      <c r="W14" s="11" t="s">
        <v>1045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L27</f>
        <v>91019358</v>
      </c>
      <c r="G15" s="29">
        <f t="shared" si="0"/>
        <v>3533642</v>
      </c>
      <c r="H15" s="11"/>
      <c r="K15" s="2" t="s">
        <v>451</v>
      </c>
      <c r="L15" s="2" t="s">
        <v>452</v>
      </c>
      <c r="M15" s="2"/>
      <c r="N15" s="2" t="s">
        <v>754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755</v>
      </c>
      <c r="N16" s="3">
        <f>'مسکن مریم یاران'!B127</f>
        <v>4027461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1258739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756</v>
      </c>
      <c r="N18" s="3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-7200000</v>
      </c>
      <c r="M19" s="2" t="s">
        <v>763</v>
      </c>
      <c r="N19" s="3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350000</v>
      </c>
      <c r="M20" s="2" t="s">
        <v>764</v>
      </c>
      <c r="N20" s="3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734</v>
      </c>
      <c r="L21" s="43">
        <v>0</v>
      </c>
      <c r="M21" s="2" t="s">
        <v>765</v>
      </c>
      <c r="N21" s="3">
        <f>-1*L19</f>
        <v>7200000</v>
      </c>
      <c r="S21" s="29"/>
      <c r="T21" s="11"/>
      <c r="U21" s="11"/>
      <c r="V21" s="11"/>
      <c r="W21" s="11" t="s">
        <v>722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938</v>
      </c>
      <c r="L22" s="43">
        <v>4800000</v>
      </c>
      <c r="M22" s="2" t="s">
        <v>757</v>
      </c>
      <c r="N22" s="3">
        <v>980000</v>
      </c>
      <c r="P22" t="s">
        <v>25</v>
      </c>
      <c r="S22" s="11"/>
      <c r="T22" s="11"/>
      <c r="U22" s="11"/>
      <c r="V22" s="11"/>
      <c r="W22" s="11" t="s">
        <v>758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951</v>
      </c>
      <c r="L23" s="43">
        <v>0</v>
      </c>
      <c r="M23" s="2" t="s">
        <v>769</v>
      </c>
      <c r="N23" s="3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2" t="s">
        <v>1135</v>
      </c>
      <c r="L24" s="43">
        <f>سکه!T22</f>
        <v>91000000</v>
      </c>
      <c r="M24" s="2" t="s">
        <v>905</v>
      </c>
      <c r="N24" s="3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2" t="s">
        <v>1164</v>
      </c>
      <c r="L25" s="43">
        <v>20485000</v>
      </c>
      <c r="M25" s="2" t="s">
        <v>1135</v>
      </c>
      <c r="N25" s="3">
        <f>سکه!U22</f>
        <v>77000000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2" t="s">
        <v>1166</v>
      </c>
      <c r="L26" s="43">
        <v>-20500000</v>
      </c>
      <c r="M26" s="2" t="s">
        <v>1165</v>
      </c>
      <c r="N26" s="3">
        <v>20500000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 t="s">
        <v>598</v>
      </c>
      <c r="L27" s="3">
        <f>SUM(L16:L26)</f>
        <v>91019358</v>
      </c>
      <c r="M27" s="2"/>
      <c r="N27" s="3">
        <f>SUM(N16:N26)</f>
        <v>154166200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599</v>
      </c>
      <c r="L28" s="3">
        <f>L16+L17+L20</f>
        <v>1434358</v>
      </c>
      <c r="M28" s="2"/>
      <c r="N28" s="3">
        <f>N16+N17+N22</f>
        <v>6266200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56" t="s">
        <v>717</v>
      </c>
      <c r="L29" s="1">
        <f>L27+N7</f>
        <v>148019358</v>
      </c>
      <c r="M29" s="3"/>
      <c r="N29" s="2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798</v>
      </c>
      <c r="L65" s="48" t="s">
        <v>476</v>
      </c>
    </row>
    <row r="66" spans="1:12" x14ac:dyDescent="0.25">
      <c r="K66" s="47">
        <v>1440000</v>
      </c>
      <c r="L66" s="48" t="s">
        <v>1073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180000</v>
      </c>
      <c r="L68" s="48" t="s">
        <v>558</v>
      </c>
    </row>
    <row r="69" spans="1:12" x14ac:dyDescent="0.25">
      <c r="K69" s="47">
        <v>300000</v>
      </c>
      <c r="L69" s="48" t="s">
        <v>794</v>
      </c>
    </row>
    <row r="70" spans="1:12" x14ac:dyDescent="0.25">
      <c r="K70" s="47">
        <v>250000</v>
      </c>
      <c r="L70" s="48" t="s">
        <v>795</v>
      </c>
    </row>
    <row r="71" spans="1:12" x14ac:dyDescent="0.25">
      <c r="K71" s="47">
        <v>500000</v>
      </c>
      <c r="L71" s="48" t="s">
        <v>796</v>
      </c>
    </row>
    <row r="72" spans="1:12" x14ac:dyDescent="0.25">
      <c r="K72" s="47">
        <v>75000</v>
      </c>
      <c r="L72" s="48" t="s">
        <v>797</v>
      </c>
    </row>
    <row r="73" spans="1:12" x14ac:dyDescent="0.25">
      <c r="K73" s="47">
        <v>450000</v>
      </c>
      <c r="L73" s="48" t="s">
        <v>799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802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4385000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814</v>
      </c>
      <c r="B9" s="3">
        <v>-80000</v>
      </c>
      <c r="C9" t="s">
        <v>826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909</v>
      </c>
      <c r="B10" s="3">
        <v>850000</v>
      </c>
      <c r="C10" t="s">
        <v>915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931</v>
      </c>
      <c r="B11" s="3">
        <v>-700000</v>
      </c>
      <c r="C11" t="s">
        <v>941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939</v>
      </c>
      <c r="B12" s="3">
        <v>1000000</v>
      </c>
      <c r="C12" t="s">
        <v>942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1068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1074</v>
      </c>
      <c r="B14" s="3">
        <v>-191000</v>
      </c>
      <c r="C14" t="s">
        <v>941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1128</v>
      </c>
      <c r="B15" s="3">
        <v>-200000</v>
      </c>
      <c r="C15" t="s">
        <v>826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1074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804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1155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1074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1155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747</v>
      </c>
      <c r="I39" s="11">
        <v>190000</v>
      </c>
      <c r="J39" s="11" t="s">
        <v>746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745</v>
      </c>
      <c r="I40" s="11">
        <v>225000</v>
      </c>
      <c r="J40" s="11" t="s">
        <v>744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1155</v>
      </c>
      <c r="I41" s="11">
        <v>231000</v>
      </c>
      <c r="J41" s="11" t="s">
        <v>791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792</v>
      </c>
      <c r="I42" s="11">
        <v>216000</v>
      </c>
      <c r="J42" s="11" t="s">
        <v>793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827</v>
      </c>
      <c r="I43" s="11">
        <v>227000</v>
      </c>
      <c r="J43" s="11" t="s">
        <v>828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893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1155</v>
      </c>
      <c r="I45" s="11">
        <v>231000</v>
      </c>
      <c r="J45" s="11" t="s">
        <v>1154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سکه</vt:lpstr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2018-04-08T11:26:38Z</dcterms:modified>
</cp:coreProperties>
</file>