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J168" i="52" l="1"/>
  <c r="O168" i="52"/>
  <c r="P23" i="18"/>
  <c r="N23" i="18" s="1"/>
  <c r="P28" i="18"/>
  <c r="N28" i="18" s="1"/>
  <c r="N45" i="18"/>
  <c r="P152" i="18"/>
  <c r="W264" i="18"/>
  <c r="AL313" i="18" l="1"/>
  <c r="AM313" i="18" s="1"/>
  <c r="O167" i="52"/>
  <c r="W263" i="18"/>
  <c r="AL312" i="18" l="1"/>
  <c r="O166" i="52"/>
  <c r="W262" i="18"/>
  <c r="AL311" i="18" l="1"/>
  <c r="AM312" i="18"/>
  <c r="W261" i="18"/>
  <c r="O165" i="52"/>
  <c r="J165" i="52"/>
  <c r="P22" i="18"/>
  <c r="N22" i="18" s="1"/>
  <c r="L46" i="18"/>
  <c r="AM311" i="18" l="1"/>
  <c r="AL310" i="18"/>
  <c r="C7" i="60"/>
  <c r="D3" i="60"/>
  <c r="D4" i="60"/>
  <c r="D5" i="60"/>
  <c r="D2" i="60"/>
  <c r="F2" i="60"/>
  <c r="AL309" i="18" l="1"/>
  <c r="AM310" i="18"/>
  <c r="P35" i="60"/>
  <c r="AM309" i="18" l="1"/>
  <c r="AL308" i="18"/>
  <c r="O162" i="52"/>
  <c r="J162" i="52"/>
  <c r="AL186" i="18"/>
  <c r="AM186" i="18" s="1"/>
  <c r="W260" i="18"/>
  <c r="AL307" i="18" l="1"/>
  <c r="AM308" i="18"/>
  <c r="AL185"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1" i="52"/>
  <c r="N180" i="52"/>
  <c r="N179" i="52"/>
  <c r="N178" i="52"/>
  <c r="N177" i="52"/>
  <c r="N176" i="52"/>
  <c r="N175" i="52"/>
  <c r="N174" i="52"/>
  <c r="N173" i="52"/>
  <c r="N172" i="52"/>
  <c r="N171" i="52"/>
  <c r="N170" i="52"/>
  <c r="N169" i="52"/>
  <c r="N168" i="52"/>
  <c r="P168" i="52" s="1"/>
  <c r="N167" i="52"/>
  <c r="N166" i="52"/>
  <c r="P166" i="52" s="1"/>
  <c r="N165" i="52"/>
  <c r="P165" i="52" s="1"/>
  <c r="N164" i="52"/>
  <c r="N163" i="52"/>
  <c r="N162" i="52"/>
  <c r="P162" i="52" s="1"/>
  <c r="N161" i="52"/>
  <c r="P167" i="52" l="1"/>
  <c r="AM307" i="18"/>
  <c r="AL306" i="18"/>
  <c r="AL184" i="18"/>
  <c r="AM185" i="18"/>
  <c r="P160" i="52"/>
  <c r="O160" i="52"/>
  <c r="J160" i="52"/>
  <c r="N160" i="52"/>
  <c r="AB79" i="52"/>
  <c r="AB82" i="52" s="1"/>
  <c r="AL305" i="18" l="1"/>
  <c r="AM306" i="18"/>
  <c r="AM184" i="18"/>
  <c r="AL183" i="18"/>
  <c r="AC79" i="52"/>
  <c r="K63" i="18"/>
  <c r="K64" i="18" s="1"/>
  <c r="J63" i="18"/>
  <c r="L43" i="18"/>
  <c r="W259" i="18"/>
  <c r="AB78" i="52"/>
  <c r="AC78" i="52" s="1"/>
  <c r="AM305" i="18" l="1"/>
  <c r="AL304" i="18"/>
  <c r="AL182" i="18"/>
  <c r="AM183" i="18"/>
  <c r="W258" i="18"/>
  <c r="AL303" i="18" l="1"/>
  <c r="AM304" i="18"/>
  <c r="AM182" i="18"/>
  <c r="AL181" i="18"/>
  <c r="AF76" i="52"/>
  <c r="AB77" i="52"/>
  <c r="AC77" i="52" s="1"/>
  <c r="AB76" i="52"/>
  <c r="AC76" i="52" s="1"/>
  <c r="AM303" i="18" l="1"/>
  <c r="AL302" i="18"/>
  <c r="AL180" i="18"/>
  <c r="AM181" i="18"/>
  <c r="N159" i="52"/>
  <c r="W257" i="18"/>
  <c r="AL301" i="18" l="1"/>
  <c r="AM302" i="18"/>
  <c r="AM180" i="18"/>
  <c r="AL179" i="18"/>
  <c r="O159" i="52"/>
  <c r="O161" i="52"/>
  <c r="P161" i="52"/>
  <c r="O163" i="52"/>
  <c r="P163" i="52"/>
  <c r="O164" i="52"/>
  <c r="P164" i="52"/>
  <c r="O169" i="52"/>
  <c r="P169" i="52"/>
  <c r="O170" i="52"/>
  <c r="P170" i="52"/>
  <c r="O171" i="52"/>
  <c r="P171" i="52"/>
  <c r="O172" i="52"/>
  <c r="P172" i="52"/>
  <c r="O173" i="52"/>
  <c r="P173" i="52"/>
  <c r="O174" i="52"/>
  <c r="P174" i="52"/>
  <c r="O175" i="52"/>
  <c r="P175" i="52"/>
  <c r="O176" i="52"/>
  <c r="P176" i="52"/>
  <c r="O177" i="52"/>
  <c r="P177" i="52"/>
  <c r="O178"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4" i="52"/>
  <c r="J175" i="52"/>
  <c r="J176" i="52"/>
  <c r="J177" i="52"/>
  <c r="J178"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M301" i="18" l="1"/>
  <c r="AL300" i="18"/>
  <c r="AL178" i="18"/>
  <c r="AM178" i="18" s="1"/>
  <c r="AM179" i="18"/>
  <c r="M101" i="18"/>
  <c r="AL299" i="18" l="1"/>
  <c r="AM300" i="18"/>
  <c r="G119" i="18"/>
  <c r="J119" i="18" s="1"/>
  <c r="G118" i="18"/>
  <c r="J118" i="18" s="1"/>
  <c r="J151" i="52"/>
  <c r="AM299" i="18" l="1"/>
  <c r="AL298" i="18"/>
  <c r="W256" i="18"/>
  <c r="K107" i="18"/>
  <c r="W255" i="18"/>
  <c r="O150" i="52"/>
  <c r="AL297" i="18" l="1"/>
  <c r="AM298" i="18"/>
  <c r="D77" i="52"/>
  <c r="AM297" i="18" l="1"/>
  <c r="AL296" i="18"/>
  <c r="AD59" i="52"/>
  <c r="Q146" i="52"/>
  <c r="J146" i="52"/>
  <c r="W254"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295" i="18" l="1"/>
  <c r="AM296" i="18"/>
  <c r="P205" i="52"/>
  <c r="P151" i="52"/>
  <c r="P150" i="52"/>
  <c r="P157" i="52"/>
  <c r="P148" i="52"/>
  <c r="P158" i="52"/>
  <c r="P156" i="52"/>
  <c r="P155" i="52"/>
  <c r="P154" i="52"/>
  <c r="P153" i="52"/>
  <c r="P152" i="52"/>
  <c r="P149" i="52"/>
  <c r="P147" i="52"/>
  <c r="O145" i="52"/>
  <c r="J145" i="52"/>
  <c r="J144" i="52"/>
  <c r="J143" i="52"/>
  <c r="AM295" i="18" l="1"/>
  <c r="AL294" i="18"/>
  <c r="W253" i="18"/>
  <c r="AL293" i="18" l="1"/>
  <c r="AM294" i="18"/>
  <c r="G131" i="18"/>
  <c r="J131" i="18" s="1"/>
  <c r="J133" i="18" s="1"/>
  <c r="I133" i="18" s="1"/>
  <c r="G125" i="18"/>
  <c r="J125" i="18" s="1"/>
  <c r="W252" i="18"/>
  <c r="AM293" i="18" l="1"/>
  <c r="AL292" i="18"/>
  <c r="J127" i="18"/>
  <c r="I127" i="18" s="1"/>
  <c r="O142" i="52"/>
  <c r="J142" i="52"/>
  <c r="N43" i="18"/>
  <c r="W251" i="18"/>
  <c r="P24" i="18"/>
  <c r="AL291" i="18" l="1"/>
  <c r="AM292" i="18"/>
  <c r="P27" i="18"/>
  <c r="N27" i="18" s="1"/>
  <c r="O140" i="52"/>
  <c r="J140" i="52"/>
  <c r="W250" i="18"/>
  <c r="AM291" i="18" l="1"/>
  <c r="AL290" i="18"/>
  <c r="W249" i="18"/>
  <c r="W248" i="18"/>
  <c r="O139" i="52"/>
  <c r="J139" i="52"/>
  <c r="AB73" i="52"/>
  <c r="AL289" i="18" l="1"/>
  <c r="AM289" i="18" s="1"/>
  <c r="AM290" i="18"/>
  <c r="AD73" i="52"/>
  <c r="AC73" i="52"/>
  <c r="W247" i="18"/>
  <c r="AB72" i="52" l="1"/>
  <c r="AD72" i="52" s="1"/>
  <c r="AB71" i="52"/>
  <c r="AD71" i="52" s="1"/>
  <c r="AC72" i="52" l="1"/>
  <c r="AC71" i="52"/>
  <c r="M41" i="52"/>
  <c r="O135" i="52" l="1"/>
  <c r="J135" i="52"/>
  <c r="AD57" i="52"/>
  <c r="AB69" i="52"/>
  <c r="AD69" i="52" s="1"/>
  <c r="AB70" i="52"/>
  <c r="AD70" i="52" s="1"/>
  <c r="AC70" i="52" l="1"/>
  <c r="AC69" i="52"/>
  <c r="W246" i="18" l="1"/>
  <c r="O132" i="52" l="1"/>
  <c r="W245" i="18"/>
  <c r="O131" i="52" l="1"/>
  <c r="J3" i="60"/>
  <c r="J4" i="60"/>
  <c r="J5" i="60"/>
  <c r="J2" i="60"/>
  <c r="I9" i="60"/>
  <c r="I7" i="60"/>
  <c r="O130" i="52" l="1"/>
  <c r="O129" i="52"/>
  <c r="W244" i="18"/>
  <c r="S202" i="18"/>
  <c r="W243" i="18"/>
  <c r="N129" i="52" l="1"/>
  <c r="O127" i="52" l="1"/>
  <c r="J126" i="52" l="1"/>
  <c r="O126" i="52"/>
  <c r="W242" i="18"/>
  <c r="O125" i="52" l="1"/>
  <c r="J125" i="52"/>
  <c r="AL288" i="18" l="1"/>
  <c r="U266" i="18"/>
  <c r="W241" i="18"/>
  <c r="AM288" i="18" l="1"/>
  <c r="AL28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40" i="18"/>
  <c r="P139" i="52" l="1"/>
  <c r="P146" i="52"/>
  <c r="P145" i="52"/>
  <c r="P144" i="52"/>
  <c r="P140" i="52"/>
  <c r="P142" i="52"/>
  <c r="P132" i="52"/>
  <c r="P127" i="52"/>
  <c r="P138" i="52"/>
  <c r="P135" i="52"/>
  <c r="P131" i="52"/>
  <c r="P126" i="52"/>
  <c r="P136" i="52"/>
  <c r="P134" i="52"/>
  <c r="AM287" i="18"/>
  <c r="AL286" i="18"/>
  <c r="P128" i="52"/>
  <c r="P141" i="52"/>
  <c r="P137" i="52"/>
  <c r="P133" i="52"/>
  <c r="P125" i="52"/>
  <c r="O123" i="52"/>
  <c r="N123" i="52"/>
  <c r="P124" i="52" s="1"/>
  <c r="J123" i="52"/>
  <c r="AM286" i="18" l="1"/>
  <c r="AL285" i="18"/>
  <c r="W239" i="18"/>
  <c r="AL284" i="18" l="1"/>
  <c r="AM285" i="18"/>
  <c r="D82" i="58"/>
  <c r="AM284" i="18" l="1"/>
  <c r="AL283" i="18"/>
  <c r="O121" i="52"/>
  <c r="J121" i="52"/>
  <c r="W238" i="18"/>
  <c r="AM283" i="18" l="1"/>
  <c r="AL282" i="18"/>
  <c r="W237" i="18"/>
  <c r="J120" i="52"/>
  <c r="M102" i="18"/>
  <c r="AM282" i="18" l="1"/>
  <c r="AL281" i="18"/>
  <c r="AM281" i="18" l="1"/>
  <c r="AL280" i="18"/>
  <c r="O117" i="52"/>
  <c r="AM280" i="18" l="1"/>
  <c r="AL279" i="18"/>
  <c r="O116" i="52"/>
  <c r="N116" i="52"/>
  <c r="AL278" i="18" l="1"/>
  <c r="AM279" i="18"/>
  <c r="W236" i="18"/>
  <c r="AM278" i="18" l="1"/>
  <c r="AL277"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7" i="18" l="1"/>
  <c r="AL276" i="18"/>
  <c r="F313" i="15"/>
  <c r="F312" i="15"/>
  <c r="F311" i="15"/>
  <c r="D310" i="15"/>
  <c r="AM276" i="18" l="1"/>
  <c r="AL275" i="18"/>
  <c r="D309" i="15"/>
  <c r="F310" i="15"/>
  <c r="AM275" i="18" l="1"/>
  <c r="AL274" i="18"/>
  <c r="D308" i="15"/>
  <c r="F309" i="15"/>
  <c r="AM274" i="18" l="1"/>
  <c r="AL27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2" i="18" l="1"/>
  <c r="AM27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2" i="18" l="1"/>
  <c r="AL271" i="18"/>
  <c r="P120" i="52"/>
  <c r="P121" i="52"/>
  <c r="D305" i="15"/>
  <c r="F306" i="15"/>
  <c r="P112" i="52"/>
  <c r="P113" i="52"/>
  <c r="P118" i="52"/>
  <c r="P122" i="52"/>
  <c r="P119" i="52"/>
  <c r="P114" i="52"/>
  <c r="P115" i="52"/>
  <c r="O110" i="52"/>
  <c r="AM271" i="18" l="1"/>
  <c r="AL270" i="18"/>
  <c r="D304" i="15"/>
  <c r="F305" i="15"/>
  <c r="W235" i="18"/>
  <c r="J108" i="52"/>
  <c r="AM270" i="18" l="1"/>
  <c r="AL269" i="18"/>
  <c r="D303" i="15"/>
  <c r="F304" i="15"/>
  <c r="W234" i="18"/>
  <c r="W233" i="18"/>
  <c r="AM269" i="18" l="1"/>
  <c r="AL268" i="18"/>
  <c r="F303" i="15"/>
  <c r="D302" i="15"/>
  <c r="O106" i="52"/>
  <c r="J106" i="52"/>
  <c r="D301" i="15" l="1"/>
  <c r="F302" i="15"/>
  <c r="J104" i="52"/>
  <c r="G117" i="18"/>
  <c r="J117" i="18" s="1"/>
  <c r="J121" i="18" s="1"/>
  <c r="E276" i="15"/>
  <c r="E277" i="15"/>
  <c r="E278" i="15"/>
  <c r="E279" i="15"/>
  <c r="E280" i="15"/>
  <c r="D300" i="15" l="1"/>
  <c r="F301" i="15"/>
  <c r="W232"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31"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K25" i="60"/>
  <c r="AL267" i="18"/>
  <c r="AM268" i="18"/>
  <c r="D296" i="15"/>
  <c r="F297" i="15"/>
  <c r="AM267" i="18" l="1"/>
  <c r="AL266" i="18"/>
  <c r="D295" i="15"/>
  <c r="F296" i="15"/>
  <c r="AL265" i="18" l="1"/>
  <c r="AM26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5" i="18"/>
  <c r="AL264" i="18"/>
  <c r="D293" i="15"/>
  <c r="F294" i="15"/>
  <c r="P111" i="52"/>
  <c r="P110" i="52"/>
  <c r="P106" i="52"/>
  <c r="P104" i="52"/>
  <c r="P107" i="52"/>
  <c r="P105" i="52"/>
  <c r="P99" i="52"/>
  <c r="P109" i="52"/>
  <c r="P103" i="52"/>
  <c r="P102" i="52"/>
  <c r="P101" i="52"/>
  <c r="P100" i="52"/>
  <c r="AL263" i="18" l="1"/>
  <c r="AM264" i="18"/>
  <c r="D292" i="15"/>
  <c r="F293" i="15"/>
  <c r="R298" i="18"/>
  <c r="J90" i="52"/>
  <c r="J95" i="52"/>
  <c r="W230" i="18"/>
  <c r="AJ187" i="18"/>
  <c r="AM263" i="18" l="1"/>
  <c r="AL262" i="18"/>
  <c r="D291" i="15"/>
  <c r="F292" i="15"/>
  <c r="F51" i="14"/>
  <c r="F52" i="14"/>
  <c r="F53" i="14"/>
  <c r="F54" i="14"/>
  <c r="F55" i="14"/>
  <c r="F56" i="14"/>
  <c r="F57" i="14"/>
  <c r="F58" i="14"/>
  <c r="F59" i="14"/>
  <c r="F60" i="14"/>
  <c r="F61" i="14"/>
  <c r="AL261" i="18" l="1"/>
  <c r="AM262" i="18"/>
  <c r="F291" i="15"/>
  <c r="D290" i="15"/>
  <c r="N92" i="52"/>
  <c r="O92" i="52"/>
  <c r="N93" i="52"/>
  <c r="O93" i="52"/>
  <c r="N94" i="52"/>
  <c r="O94" i="52"/>
  <c r="N95" i="52"/>
  <c r="O95" i="52"/>
  <c r="N96" i="52"/>
  <c r="O96" i="52"/>
  <c r="N97" i="52"/>
  <c r="O97" i="52"/>
  <c r="J92" i="52"/>
  <c r="J93" i="52"/>
  <c r="J94" i="52"/>
  <c r="J96" i="52"/>
  <c r="O133" i="18"/>
  <c r="O132" i="18"/>
  <c r="O131" i="18"/>
  <c r="AM261" i="18" l="1"/>
  <c r="AL260" i="18"/>
  <c r="D289" i="15"/>
  <c r="F290" i="15"/>
  <c r="P97" i="52"/>
  <c r="P98" i="52"/>
  <c r="P95" i="52"/>
  <c r="P96" i="52"/>
  <c r="P94" i="52"/>
  <c r="P93" i="52"/>
  <c r="O135" i="18"/>
  <c r="N91" i="52"/>
  <c r="P92" i="52" s="1"/>
  <c r="AL259" i="18" l="1"/>
  <c r="AM260" i="18"/>
  <c r="F289" i="15"/>
  <c r="D288" i="15"/>
  <c r="R240" i="18"/>
  <c r="T282" i="18" s="1"/>
  <c r="W229" i="18"/>
  <c r="W228" i="18"/>
  <c r="W227" i="18"/>
  <c r="M48" i="52"/>
  <c r="M47" i="52"/>
  <c r="N38" i="52"/>
  <c r="N37" i="52"/>
  <c r="M49" i="52"/>
  <c r="N50" i="52" s="1"/>
  <c r="AM259" i="18" l="1"/>
  <c r="AL258" i="18"/>
  <c r="D287" i="15"/>
  <c r="F288" i="15"/>
  <c r="N49" i="52"/>
  <c r="W226" i="18"/>
  <c r="AM258" i="18" l="1"/>
  <c r="AL257" i="18"/>
  <c r="F287" i="15"/>
  <c r="D286" i="15"/>
  <c r="I121" i="18" l="1"/>
  <c r="AL256" i="18"/>
  <c r="AM257" i="18"/>
  <c r="D285" i="15"/>
  <c r="F286" i="15"/>
  <c r="W225" i="18"/>
  <c r="AM256" i="18" l="1"/>
  <c r="AL255" i="18"/>
  <c r="D284" i="15"/>
  <c r="F285" i="15"/>
  <c r="O90" i="52"/>
  <c r="O91" i="52"/>
  <c r="J91" i="52"/>
  <c r="AL254" i="18" l="1"/>
  <c r="AM255" i="18"/>
  <c r="D283" i="15"/>
  <c r="F284" i="15"/>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254" i="18" l="1"/>
  <c r="AL253" i="18"/>
  <c r="F283" i="15"/>
  <c r="D282" i="15"/>
  <c r="G32" i="57"/>
  <c r="H32" i="57"/>
  <c r="D32" i="57"/>
  <c r="I32" i="57" s="1"/>
  <c r="D345" i="20"/>
  <c r="W223" i="18"/>
  <c r="W222" i="18"/>
  <c r="AL252" i="18" l="1"/>
  <c r="AM253" i="18"/>
  <c r="D281" i="15"/>
  <c r="F282" i="15"/>
  <c r="W158" i="18"/>
  <c r="W15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2" i="18" l="1"/>
  <c r="AL251" i="18"/>
  <c r="F281" i="15"/>
  <c r="D280" i="15"/>
  <c r="C46" i="56"/>
  <c r="B46" i="56"/>
  <c r="AL250" i="18" l="1"/>
  <c r="AM250" i="18" s="1"/>
  <c r="AM251" i="18"/>
  <c r="D279" i="15"/>
  <c r="F280" i="15"/>
  <c r="O84" i="52"/>
  <c r="W221" i="18"/>
  <c r="D343" i="20"/>
  <c r="F279" i="15" l="1"/>
  <c r="D278" i="15"/>
  <c r="W220" i="18"/>
  <c r="D342" i="20"/>
  <c r="J83" i="52"/>
  <c r="O83" i="52"/>
  <c r="W219" i="18"/>
  <c r="W218" i="18"/>
  <c r="F44" i="14"/>
  <c r="F45" i="14"/>
  <c r="F46" i="14"/>
  <c r="F47" i="14"/>
  <c r="F48" i="14"/>
  <c r="F49" i="14"/>
  <c r="F50" i="14"/>
  <c r="D341" i="20"/>
  <c r="F278" i="15" l="1"/>
  <c r="D277" i="15"/>
  <c r="AJ314" i="18"/>
  <c r="D276" i="15" l="1"/>
  <c r="F276" i="15" s="1"/>
  <c r="F277" i="15"/>
  <c r="W217" i="18"/>
  <c r="D340" i="20" l="1"/>
  <c r="W216" i="18"/>
  <c r="H337" i="20"/>
  <c r="H338" i="20"/>
  <c r="H339" i="20"/>
  <c r="H340" i="20"/>
  <c r="H341" i="20"/>
  <c r="H368" i="20"/>
  <c r="H369" i="20"/>
  <c r="D339" i="20"/>
  <c r="B371" i="20" l="1"/>
  <c r="D332" i="20"/>
  <c r="D333" i="20"/>
  <c r="D334" i="20"/>
  <c r="D335" i="20"/>
  <c r="D336" i="20"/>
  <c r="D337" i="20"/>
  <c r="D338" i="20"/>
  <c r="D369" i="20"/>
  <c r="W215" i="18" l="1"/>
  <c r="D80" i="57"/>
  <c r="AD46" i="52" l="1"/>
  <c r="AE46" i="52"/>
  <c r="G46" i="10"/>
  <c r="D331" i="20" l="1"/>
  <c r="D330" i="20" l="1"/>
  <c r="W214" i="18" l="1"/>
  <c r="W213"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2" i="18" l="1"/>
  <c r="W211" i="18"/>
  <c r="Z40" i="52" l="1"/>
  <c r="Z39" i="52"/>
  <c r="Z38" i="52"/>
  <c r="AD38" i="52"/>
  <c r="AD39" i="52"/>
  <c r="AD40" i="52"/>
  <c r="AE40" i="52"/>
  <c r="AE39" i="52"/>
  <c r="AE38" i="52"/>
  <c r="R173"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0" i="18"/>
  <c r="W209" i="18"/>
  <c r="L34" i="18"/>
  <c r="N36" i="52"/>
  <c r="N35" i="52"/>
  <c r="Q42" i="52"/>
  <c r="AD37" i="52"/>
  <c r="AD36" i="52"/>
  <c r="AD35" i="52"/>
  <c r="AD34" i="52"/>
  <c r="AD33" i="52"/>
  <c r="Z37" i="52"/>
  <c r="Z36" i="52"/>
  <c r="Z35" i="52"/>
  <c r="Z34" i="52"/>
  <c r="Z33" i="52"/>
  <c r="AE37" i="52"/>
  <c r="AE36" i="52"/>
  <c r="AE35" i="52"/>
  <c r="AE34" i="52"/>
  <c r="AE33" i="52"/>
  <c r="W208" i="18" l="1"/>
  <c r="W207"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6" i="18" l="1"/>
  <c r="W205" i="18"/>
  <c r="AD31" i="52"/>
  <c r="AD30" i="52"/>
  <c r="Z31" i="52"/>
  <c r="Z30" i="52"/>
  <c r="AE31" i="52"/>
  <c r="AE30" i="52"/>
  <c r="AD29" i="52"/>
  <c r="Z29" i="52"/>
  <c r="AE29" i="52"/>
  <c r="AD28" i="52"/>
  <c r="Z28" i="52"/>
  <c r="AE28" i="52"/>
  <c r="N32" i="52"/>
  <c r="N31" i="52"/>
  <c r="W204" i="18" l="1"/>
  <c r="W203" i="18"/>
  <c r="N30" i="52"/>
  <c r="N29" i="52"/>
  <c r="AD27" i="52"/>
  <c r="Z27" i="52"/>
  <c r="AE27" i="52"/>
  <c r="W202" i="18" l="1"/>
  <c r="W201" i="18"/>
  <c r="N28" i="52"/>
  <c r="N27" i="52"/>
  <c r="AD26" i="52" l="1"/>
  <c r="AE26" i="52"/>
  <c r="AL249" i="18" l="1"/>
  <c r="D313" i="20"/>
  <c r="AL248" i="18" l="1"/>
  <c r="AM249" i="18"/>
  <c r="L108" i="18"/>
  <c r="L105" i="18" s="1"/>
  <c r="N105" i="18" s="1"/>
  <c r="L104" i="18" l="1"/>
  <c r="M108" i="18"/>
  <c r="AM248" i="18"/>
  <c r="AL247" i="18"/>
  <c r="L100" i="18"/>
  <c r="W200" i="18"/>
  <c r="W199" i="18"/>
  <c r="N24" i="52"/>
  <c r="N26" i="52"/>
  <c r="N25" i="52"/>
  <c r="AL246" i="18" l="1"/>
  <c r="AM247" i="18"/>
  <c r="L102"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46" i="18"/>
  <c r="AL245" i="18"/>
  <c r="I370" i="20"/>
  <c r="J370" i="20"/>
  <c r="W198" i="18"/>
  <c r="W197" i="18"/>
  <c r="N23" i="52"/>
  <c r="N22" i="52"/>
  <c r="Z24" i="52"/>
  <c r="AD24" i="52"/>
  <c r="AE24" i="52"/>
  <c r="I368" i="20" l="1"/>
  <c r="G367" i="20"/>
  <c r="J368" i="20"/>
  <c r="K368" i="20"/>
  <c r="AL244" i="18"/>
  <c r="AM245" i="18"/>
  <c r="W196" i="18"/>
  <c r="W195" i="18"/>
  <c r="N21" i="52"/>
  <c r="N20" i="52"/>
  <c r="G366" i="20" l="1"/>
  <c r="I367" i="20"/>
  <c r="K367" i="20"/>
  <c r="J367" i="20"/>
  <c r="AL243" i="18"/>
  <c r="AM244" i="18"/>
  <c r="D309" i="20"/>
  <c r="J366" i="20" l="1"/>
  <c r="K366" i="20"/>
  <c r="I366" i="20"/>
  <c r="G365" i="20"/>
  <c r="AL242" i="18"/>
  <c r="AM243" i="18"/>
  <c r="D308" i="20"/>
  <c r="G364" i="20" l="1"/>
  <c r="I365" i="20"/>
  <c r="J365" i="20"/>
  <c r="K365" i="20"/>
  <c r="AL241" i="18"/>
  <c r="AM242" i="18"/>
  <c r="D307" i="20"/>
  <c r="I364" i="20" l="1"/>
  <c r="J364" i="20"/>
  <c r="K364" i="20"/>
  <c r="G363" i="20"/>
  <c r="AL240" i="18"/>
  <c r="AM241" i="18"/>
  <c r="AD23" i="52"/>
  <c r="Z23" i="52"/>
  <c r="AE23" i="52"/>
  <c r="Z22" i="52"/>
  <c r="AD22" i="52"/>
  <c r="AE22" i="52"/>
  <c r="AL177" i="18" l="1"/>
  <c r="G362" i="20"/>
  <c r="I363" i="20"/>
  <c r="J363" i="20"/>
  <c r="K363" i="20"/>
  <c r="AL239" i="18"/>
  <c r="AM240" i="18"/>
  <c r="W194" i="18"/>
  <c r="W193" i="18"/>
  <c r="AL176" i="18" l="1"/>
  <c r="AM177" i="18"/>
  <c r="K362" i="20"/>
  <c r="G361" i="20"/>
  <c r="I362" i="20"/>
  <c r="J362" i="20"/>
  <c r="AL238" i="18"/>
  <c r="AM239" i="18"/>
  <c r="AD21" i="52"/>
  <c r="AC21" i="52"/>
  <c r="AE21" i="52"/>
  <c r="AD20" i="52"/>
  <c r="AC20" i="52"/>
  <c r="AE20" i="52"/>
  <c r="AL175" i="18" l="1"/>
  <c r="AM176" i="18"/>
  <c r="I361" i="20"/>
  <c r="G360" i="20"/>
  <c r="J361" i="20"/>
  <c r="K361" i="20"/>
  <c r="AL237" i="18"/>
  <c r="AM238" i="18"/>
  <c r="G103" i="18"/>
  <c r="F103" i="18" s="1"/>
  <c r="G100" i="18"/>
  <c r="F100" i="18" s="1"/>
  <c r="N24" i="18"/>
  <c r="AL174" i="18" l="1"/>
  <c r="AM175" i="18"/>
  <c r="I360" i="20"/>
  <c r="K360" i="20"/>
  <c r="G359" i="20"/>
  <c r="J360" i="20"/>
  <c r="AL236" i="18"/>
  <c r="AM237" i="18"/>
  <c r="D306" i="20"/>
  <c r="AL173" i="18" l="1"/>
  <c r="AM174" i="18"/>
  <c r="G358" i="20"/>
  <c r="J359" i="20"/>
  <c r="K359" i="20"/>
  <c r="I359" i="20"/>
  <c r="AL235" i="18"/>
  <c r="AM236" i="18"/>
  <c r="D305" i="20"/>
  <c r="AL172" i="18" l="1"/>
  <c r="AM173" i="18"/>
  <c r="K358" i="20"/>
  <c r="I358" i="20"/>
  <c r="G357" i="20"/>
  <c r="J358" i="20"/>
  <c r="AL234" i="18"/>
  <c r="AM235" i="18"/>
  <c r="AD19" i="52"/>
  <c r="AD18" i="52"/>
  <c r="Z19" i="52"/>
  <c r="Z18" i="52"/>
  <c r="AE19" i="52"/>
  <c r="AE18" i="52"/>
  <c r="AL171" i="18" l="1"/>
  <c r="AM172" i="18"/>
  <c r="I357" i="20"/>
  <c r="J357" i="20"/>
  <c r="G356" i="20"/>
  <c r="K357" i="20"/>
  <c r="AM234" i="18"/>
  <c r="AL233" i="18"/>
  <c r="D304" i="20"/>
  <c r="W192" i="18"/>
  <c r="W191" i="18"/>
  <c r="AD17" i="52"/>
  <c r="Z17" i="52"/>
  <c r="AE17" i="52"/>
  <c r="AD16" i="52"/>
  <c r="Z16" i="52"/>
  <c r="AE16" i="52"/>
  <c r="N17" i="52"/>
  <c r="N16" i="52"/>
  <c r="AL170" i="18" l="1"/>
  <c r="AM171" i="18"/>
  <c r="I356" i="20"/>
  <c r="G355" i="20"/>
  <c r="J356" i="20"/>
  <c r="K356" i="20"/>
  <c r="L101" i="18"/>
  <c r="L103"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Z15" i="52"/>
  <c r="AD15" i="52"/>
  <c r="AE15" i="52"/>
  <c r="P29"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6" i="18"/>
  <c r="AL163" i="18" l="1"/>
  <c r="AM164" i="18"/>
  <c r="I350" i="20"/>
  <c r="J350" i="20"/>
  <c r="K350" i="20"/>
  <c r="G349" i="20"/>
  <c r="AD14" i="52"/>
  <c r="AE14" i="52"/>
  <c r="AD13" i="52"/>
  <c r="AE13" i="52"/>
  <c r="Z14" i="52"/>
  <c r="D296" i="20"/>
  <c r="D295" i="20"/>
  <c r="AM163" i="18" l="1"/>
  <c r="AL162" i="18"/>
  <c r="K349" i="20"/>
  <c r="I349" i="20"/>
  <c r="J349" i="20"/>
  <c r="G348" i="20"/>
  <c r="W185" i="18"/>
  <c r="W184" i="18"/>
  <c r="L11" i="52"/>
  <c r="L10" i="52"/>
  <c r="AL232" i="18"/>
  <c r="AL231" i="18" s="1"/>
  <c r="AL23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3" i="18"/>
  <c r="AM232" i="18"/>
  <c r="AM231"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N42" i="18"/>
  <c r="D291" i="20"/>
  <c r="M104" i="18" l="1"/>
  <c r="AL156" i="18"/>
  <c r="AM157" i="18"/>
  <c r="G342" i="20"/>
  <c r="J343" i="20"/>
  <c r="I343" i="20"/>
  <c r="K343" i="20"/>
  <c r="D290" i="20"/>
  <c r="AL155" i="18" l="1"/>
  <c r="AM156" i="18"/>
  <c r="I342" i="20"/>
  <c r="K342" i="20"/>
  <c r="J342" i="20"/>
  <c r="G341" i="20"/>
  <c r="D289" i="20"/>
  <c r="AL154" i="18" l="1"/>
  <c r="AM155" i="18"/>
  <c r="K341" i="20"/>
  <c r="G340" i="20"/>
  <c r="I341" i="20"/>
  <c r="J341" i="20"/>
  <c r="AL229" i="18"/>
  <c r="AL228" i="18" s="1"/>
  <c r="D288" i="20"/>
  <c r="AL153" i="18" l="1"/>
  <c r="AM154" i="18"/>
  <c r="I340" i="20"/>
  <c r="K340" i="20"/>
  <c r="G339" i="20"/>
  <c r="J340" i="20"/>
  <c r="AM230" i="18"/>
  <c r="AM22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50" i="18"/>
  <c r="S150"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5" i="18"/>
  <c r="W178" i="18"/>
  <c r="D278" i="20"/>
  <c r="AL140" i="18" l="1"/>
  <c r="AM141" i="18"/>
  <c r="J327" i="20"/>
  <c r="K327" i="20"/>
  <c r="G326" i="20"/>
  <c r="I327" i="20"/>
  <c r="W156"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9"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6"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47" i="18"/>
  <c r="AM120" i="18" l="1"/>
  <c r="AL119" i="18"/>
  <c r="AM119" i="18" l="1"/>
  <c r="AL118" i="18"/>
  <c r="T153" i="18"/>
  <c r="S65" i="18"/>
  <c r="S66" i="18" s="1"/>
  <c r="S67" i="18" s="1"/>
  <c r="R174" i="18"/>
  <c r="R172" i="18"/>
  <c r="D57" i="51"/>
  <c r="AL117" i="18" l="1"/>
  <c r="AM118" i="18"/>
  <c r="S68" i="18"/>
  <c r="S69" i="18" s="1"/>
  <c r="AM117" i="18" l="1"/>
  <c r="AL116" i="18"/>
  <c r="S70" i="18"/>
  <c r="S71" i="18" s="1"/>
  <c r="N29" i="18"/>
  <c r="Q87"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2" i="18" l="1"/>
  <c r="S73" i="18" s="1"/>
  <c r="AL113" i="18"/>
  <c r="AM114" i="18"/>
  <c r="S20" i="18"/>
  <c r="S21" i="18" s="1"/>
  <c r="S74" i="18" l="1"/>
  <c r="AL112" i="18"/>
  <c r="AM113" i="18"/>
  <c r="N44" i="18"/>
  <c r="M103" i="18" s="1"/>
  <c r="S75" i="18" l="1"/>
  <c r="S76" i="18" s="1"/>
  <c r="N103" i="18"/>
  <c r="AM112" i="18"/>
  <c r="AL111" i="18"/>
  <c r="D108" i="50"/>
  <c r="S77" i="18" l="1"/>
  <c r="AL110" i="18"/>
  <c r="AM111" i="18"/>
  <c r="S78" i="18" l="1"/>
  <c r="S79" i="18" s="1"/>
  <c r="AL109" i="18"/>
  <c r="AM110" i="18"/>
  <c r="S80" i="18" l="1"/>
  <c r="S81" i="18" s="1"/>
  <c r="S82" i="18" s="1"/>
  <c r="S83" i="18" s="1"/>
  <c r="S84" i="18" s="1"/>
  <c r="S85" i="18" s="1"/>
  <c r="N102" i="18"/>
  <c r="AL108" i="18"/>
  <c r="AM109" i="18"/>
  <c r="N22" i="33"/>
  <c r="R22" i="33" s="1"/>
  <c r="E22" i="33" l="1"/>
  <c r="AL107" i="18"/>
  <c r="AM108" i="18"/>
  <c r="C22" i="33"/>
  <c r="J22" i="33"/>
  <c r="F22" i="33"/>
  <c r="B22" i="33"/>
  <c r="I22" i="33"/>
  <c r="L22" i="33"/>
  <c r="H22" i="33"/>
  <c r="D22" i="33"/>
  <c r="K22" i="33"/>
  <c r="G22" i="33"/>
  <c r="AM107" i="18" l="1"/>
  <c r="AL106" i="18"/>
  <c r="AL105" i="18" l="1"/>
  <c r="AM106" i="18"/>
  <c r="N104" i="18" l="1"/>
  <c r="AL104" i="18"/>
  <c r="AM105" i="18"/>
  <c r="AL227" i="18"/>
  <c r="AM228" i="18"/>
  <c r="AL103" i="18" l="1"/>
  <c r="AM104" i="18"/>
  <c r="AL226" i="18"/>
  <c r="AM227" i="18"/>
  <c r="AL102" i="18" l="1"/>
  <c r="AM103" i="18"/>
  <c r="AL225" i="18"/>
  <c r="AM226" i="18"/>
  <c r="S22" i="18"/>
  <c r="S23" i="18" s="1"/>
  <c r="N72" i="18"/>
  <c r="AL101" i="18" l="1"/>
  <c r="AM102" i="18"/>
  <c r="AL224" i="18"/>
  <c r="AM22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4" i="18"/>
  <c r="AL223" i="18"/>
  <c r="D73" i="48"/>
  <c r="N101" i="18" l="1"/>
  <c r="AL99" i="18"/>
  <c r="AM100" i="18"/>
  <c r="AL222" i="18"/>
  <c r="AM223" i="18"/>
  <c r="S32" i="18" l="1"/>
  <c r="AM99" i="18"/>
  <c r="AL98" i="18"/>
  <c r="AL221" i="18"/>
  <c r="AM222" i="18"/>
  <c r="S33" i="18" l="1"/>
  <c r="S34" i="18" s="1"/>
  <c r="S35" i="18" s="1"/>
  <c r="AL97" i="18"/>
  <c r="AM98" i="18"/>
  <c r="AL220" i="18"/>
  <c r="AM221" i="18"/>
  <c r="S36" i="18" l="1"/>
  <c r="S37" i="18" s="1"/>
  <c r="AM97" i="18"/>
  <c r="AL96" i="18"/>
  <c r="AL219" i="18"/>
  <c r="AM220" i="18"/>
  <c r="N23" i="33"/>
  <c r="D23" i="33" s="1"/>
  <c r="S38" i="18" l="1"/>
  <c r="AM96" i="18"/>
  <c r="AL95" i="18"/>
  <c r="AL218" i="18"/>
  <c r="AM21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9" i="18" l="1"/>
  <c r="S40" i="18" s="1"/>
  <c r="S41" i="18" s="1"/>
  <c r="S42" i="18" s="1"/>
  <c r="F26" i="49"/>
  <c r="G26" i="49"/>
  <c r="AL94" i="18"/>
  <c r="AM95" i="18"/>
  <c r="AL217" i="18"/>
  <c r="AM218" i="18"/>
  <c r="N21" i="18"/>
  <c r="Q60" i="18" l="1"/>
  <c r="R170" i="18"/>
  <c r="S43" i="18"/>
  <c r="S44" i="18" s="1"/>
  <c r="AJ318" i="18"/>
  <c r="AJ319" i="18" s="1"/>
  <c r="AM94" i="18"/>
  <c r="AL93" i="18"/>
  <c r="AL216" i="18"/>
  <c r="AM217" i="18"/>
  <c r="S45" i="18" l="1"/>
  <c r="AL92" i="18"/>
  <c r="AM93" i="18"/>
  <c r="AL215" i="18"/>
  <c r="AM216" i="18"/>
  <c r="S97" i="18"/>
  <c r="S98" i="18" s="1"/>
  <c r="S46" i="18" l="1"/>
  <c r="S47" i="18" s="1"/>
  <c r="S48" i="18" s="1"/>
  <c r="S49" i="18" s="1"/>
  <c r="AL91" i="18"/>
  <c r="AM92" i="18"/>
  <c r="AM215" i="18"/>
  <c r="AL214" i="18"/>
  <c r="S50" i="18" l="1"/>
  <c r="S51" i="18" s="1"/>
  <c r="S52" i="18" s="1"/>
  <c r="S53" i="18" s="1"/>
  <c r="S54" i="18" s="1"/>
  <c r="S55" i="18" s="1"/>
  <c r="S56" i="18" s="1"/>
  <c r="S57" i="18" s="1"/>
  <c r="S58" i="18" s="1"/>
  <c r="AL90" i="18"/>
  <c r="AM91" i="18"/>
  <c r="AL213" i="18"/>
  <c r="AM214" i="18"/>
  <c r="AM90" i="18" l="1"/>
  <c r="AL89" i="18"/>
  <c r="AM213" i="18"/>
  <c r="AL212" i="18"/>
  <c r="AL88" i="18" l="1"/>
  <c r="AM89" i="18"/>
  <c r="AM212" i="18"/>
  <c r="AL211" i="18"/>
  <c r="B8" i="36"/>
  <c r="AM88" i="18" l="1"/>
  <c r="AL87" i="18"/>
  <c r="AL210" i="18"/>
  <c r="AM211" i="18"/>
  <c r="B10" i="36"/>
  <c r="AL86" i="18" l="1"/>
  <c r="AM87" i="18"/>
  <c r="AL209" i="18"/>
  <c r="AM210" i="18"/>
  <c r="S99" i="18"/>
  <c r="S100" i="18" s="1"/>
  <c r="S101" i="18" s="1"/>
  <c r="AL85" i="18" l="1"/>
  <c r="AM86" i="18"/>
  <c r="S102" i="18"/>
  <c r="S103" i="18" s="1"/>
  <c r="AL208" i="18"/>
  <c r="AM209" i="18"/>
  <c r="N25" i="33"/>
  <c r="N24" i="33"/>
  <c r="N21" i="33"/>
  <c r="N20" i="33"/>
  <c r="N19" i="33"/>
  <c r="N18" i="33"/>
  <c r="L18" i="33" s="1"/>
  <c r="N17" i="33"/>
  <c r="N9" i="33"/>
  <c r="N3" i="33"/>
  <c r="N4" i="33"/>
  <c r="AL84" i="18" l="1"/>
  <c r="AM85" i="18"/>
  <c r="AM208" i="18"/>
  <c r="AL207" i="18"/>
  <c r="S104" i="18"/>
  <c r="S105" i="18" s="1"/>
  <c r="S10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7" i="18"/>
  <c r="AL206" i="18"/>
  <c r="AC15" i="33"/>
  <c r="AL82" i="18" l="1"/>
  <c r="AM83" i="18"/>
  <c r="AM206" i="18"/>
  <c r="AL205" i="18"/>
  <c r="N16" i="33"/>
  <c r="AL81" i="18" l="1"/>
  <c r="AM82" i="18"/>
  <c r="AM205" i="18"/>
  <c r="AL204" i="18"/>
  <c r="AM204" i="18" s="1"/>
  <c r="L16" i="33"/>
  <c r="J16" i="33"/>
  <c r="F16" i="33"/>
  <c r="C16" i="33"/>
  <c r="K16" i="33"/>
  <c r="G16" i="33"/>
  <c r="H16" i="33"/>
  <c r="D16" i="33"/>
  <c r="I16" i="33"/>
  <c r="E16" i="33"/>
  <c r="B16" i="33"/>
  <c r="R16" i="33"/>
  <c r="AM314" i="18" l="1"/>
  <c r="AN314" i="18" s="1"/>
  <c r="AJ31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20" i="18" l="1"/>
  <c r="AJ32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7" i="18" l="1"/>
  <c r="AL77" i="18"/>
  <c r="AM78" i="18"/>
  <c r="G307" i="20" l="1"/>
  <c r="K308" i="20"/>
  <c r="J308" i="20"/>
  <c r="I308" i="20"/>
  <c r="S108" i="18"/>
  <c r="AL76" i="18"/>
  <c r="AM77" i="18"/>
  <c r="S109" i="18" l="1"/>
  <c r="S110" i="18" s="1"/>
  <c r="S111" i="18" s="1"/>
  <c r="S112" i="18" s="1"/>
  <c r="S113" i="18" s="1"/>
  <c r="G306" i="20"/>
  <c r="J307" i="20"/>
  <c r="I307" i="20"/>
  <c r="K307" i="20"/>
  <c r="AL75" i="18"/>
  <c r="AM76" i="18"/>
  <c r="N46" i="18"/>
  <c r="R169" i="18" s="1"/>
  <c r="Q145" i="18" l="1"/>
  <c r="R182" i="18"/>
  <c r="M100" i="18"/>
  <c r="N100" i="18" s="1"/>
  <c r="N108" i="18" s="1"/>
  <c r="AJ193" i="18"/>
  <c r="AJ194" i="18" s="1"/>
  <c r="S114" i="18"/>
  <c r="G305" i="20"/>
  <c r="I306" i="20"/>
  <c r="K306" i="20"/>
  <c r="J306" i="20"/>
  <c r="AL74" i="18"/>
  <c r="AM75" i="18"/>
  <c r="U282" i="18" l="1"/>
  <c r="T269" i="18"/>
  <c r="V272" i="18" s="1"/>
  <c r="G304" i="20"/>
  <c r="I305" i="20"/>
  <c r="K305" i="20"/>
  <c r="J305" i="20"/>
  <c r="AL73" i="18"/>
  <c r="AM74" i="18"/>
  <c r="R91" i="18"/>
  <c r="V58" i="18" l="1"/>
  <c r="X58" i="18" s="1"/>
  <c r="V85" i="18"/>
  <c r="V56" i="18"/>
  <c r="W56" i="18" s="1"/>
  <c r="V57" i="18"/>
  <c r="V55" i="18"/>
  <c r="W55" i="18" s="1"/>
  <c r="V84" i="18"/>
  <c r="V54" i="18"/>
  <c r="V53" i="18"/>
  <c r="W53" i="18" s="1"/>
  <c r="V52" i="18"/>
  <c r="W52" i="18" s="1"/>
  <c r="V83" i="18"/>
  <c r="V82" i="18"/>
  <c r="X82" i="18" s="1"/>
  <c r="V51" i="18"/>
  <c r="V81" i="18"/>
  <c r="W81" i="18" s="1"/>
  <c r="V50" i="18"/>
  <c r="V49" i="18"/>
  <c r="X49" i="18" s="1"/>
  <c r="V80" i="18"/>
  <c r="V48" i="18"/>
  <c r="W48" i="18" s="1"/>
  <c r="V47" i="18"/>
  <c r="W47" i="18" s="1"/>
  <c r="V79" i="18"/>
  <c r="V78" i="18"/>
  <c r="W78" i="18" s="1"/>
  <c r="V46" i="18"/>
  <c r="V45" i="18"/>
  <c r="X45" i="18" s="1"/>
  <c r="V77" i="18"/>
  <c r="S158" i="18"/>
  <c r="U158" i="18" s="1"/>
  <c r="V158" i="18" s="1"/>
  <c r="V43" i="18"/>
  <c r="W43" i="18" s="1"/>
  <c r="V44" i="18"/>
  <c r="V76" i="18"/>
  <c r="W76" i="18" s="1"/>
  <c r="V42" i="18"/>
  <c r="V95" i="18"/>
  <c r="V41" i="18"/>
  <c r="X41" i="18" s="1"/>
  <c r="V75" i="18"/>
  <c r="V74" i="18"/>
  <c r="V73" i="18"/>
  <c r="W73" i="18" s="1"/>
  <c r="V40" i="18"/>
  <c r="V39" i="18"/>
  <c r="V38" i="18"/>
  <c r="V37" i="18"/>
  <c r="S115" i="18"/>
  <c r="V36" i="18"/>
  <c r="V35" i="18"/>
  <c r="W35" i="18" s="1"/>
  <c r="V72" i="18"/>
  <c r="V34" i="18"/>
  <c r="W34" i="18" s="1"/>
  <c r="V71" i="18"/>
  <c r="V33" i="18"/>
  <c r="V32" i="18"/>
  <c r="V31" i="18"/>
  <c r="V29" i="18"/>
  <c r="W29" i="18" s="1"/>
  <c r="V30" i="18"/>
  <c r="V59" i="18"/>
  <c r="V28" i="18"/>
  <c r="X28" i="18" s="1"/>
  <c r="G303" i="20"/>
  <c r="K304" i="20"/>
  <c r="I304" i="20"/>
  <c r="J304" i="20"/>
  <c r="V282" i="18"/>
  <c r="V27" i="18"/>
  <c r="W27" i="18" s="1"/>
  <c r="V113" i="18"/>
  <c r="V144" i="18"/>
  <c r="V111" i="18"/>
  <c r="W111" i="18" s="1"/>
  <c r="V112" i="18"/>
  <c r="V26" i="18"/>
  <c r="W26" i="18" s="1"/>
  <c r="V70" i="18"/>
  <c r="V109" i="18"/>
  <c r="W109" i="18" s="1"/>
  <c r="V110" i="18"/>
  <c r="V107" i="18"/>
  <c r="W107" i="18" s="1"/>
  <c r="V108" i="18"/>
  <c r="V106" i="18"/>
  <c r="W106" i="18" s="1"/>
  <c r="V25" i="18"/>
  <c r="V24" i="18"/>
  <c r="W24" i="18" s="1"/>
  <c r="V69" i="18"/>
  <c r="V23" i="18"/>
  <c r="X23" i="18" s="1"/>
  <c r="V68" i="18"/>
  <c r="V86" i="18"/>
  <c r="V67" i="18"/>
  <c r="V105" i="18"/>
  <c r="V66" i="18"/>
  <c r="V104" i="18"/>
  <c r="V22" i="18"/>
  <c r="V103" i="18"/>
  <c r="V21" i="18"/>
  <c r="V102" i="18"/>
  <c r="V101" i="18"/>
  <c r="V100" i="18"/>
  <c r="V98" i="18"/>
  <c r="V99" i="18"/>
  <c r="V20" i="18"/>
  <c r="V96" i="18"/>
  <c r="V97" i="18"/>
  <c r="AL72" i="18"/>
  <c r="AM73" i="18"/>
  <c r="W58" i="18" l="1"/>
  <c r="W85" i="18"/>
  <c r="X85" i="18"/>
  <c r="X56" i="18"/>
  <c r="W57" i="18"/>
  <c r="X57" i="18"/>
  <c r="X55" i="18"/>
  <c r="W54" i="18"/>
  <c r="X54" i="18"/>
  <c r="W84" i="18"/>
  <c r="X84" i="18"/>
  <c r="X53" i="18"/>
  <c r="X52" i="18"/>
  <c r="W83" i="18"/>
  <c r="X83" i="18"/>
  <c r="W82" i="18"/>
  <c r="X51" i="18"/>
  <c r="W51" i="18"/>
  <c r="X81" i="18"/>
  <c r="X50" i="18"/>
  <c r="W50" i="18"/>
  <c r="W49" i="18"/>
  <c r="W80" i="18"/>
  <c r="X80" i="18"/>
  <c r="X48" i="18"/>
  <c r="X47" i="18"/>
  <c r="X79" i="18"/>
  <c r="W79" i="18"/>
  <c r="X78" i="18"/>
  <c r="X46" i="18"/>
  <c r="W46" i="18"/>
  <c r="W45" i="18"/>
  <c r="W77" i="18"/>
  <c r="X77" i="18"/>
  <c r="X43" i="18"/>
  <c r="W44" i="18"/>
  <c r="X44" i="18"/>
  <c r="X76" i="18"/>
  <c r="W42" i="18"/>
  <c r="X42" i="18"/>
  <c r="W41" i="18"/>
  <c r="W75" i="18"/>
  <c r="X75" i="18"/>
  <c r="W74" i="18"/>
  <c r="X74" i="18"/>
  <c r="X73" i="18"/>
  <c r="W40" i="18"/>
  <c r="X40" i="18"/>
  <c r="W39" i="18"/>
  <c r="X39" i="18"/>
  <c r="W37" i="18"/>
  <c r="X37" i="18"/>
  <c r="X38" i="18"/>
  <c r="W38" i="18"/>
  <c r="V114" i="18"/>
  <c r="X114" i="18" s="1"/>
  <c r="W36" i="18"/>
  <c r="X36" i="18"/>
  <c r="X35" i="18"/>
  <c r="W72" i="18"/>
  <c r="X72" i="18"/>
  <c r="X34" i="18"/>
  <c r="W71" i="18"/>
  <c r="X71" i="18"/>
  <c r="X33" i="18"/>
  <c r="W33" i="18"/>
  <c r="X32" i="18"/>
  <c r="W32" i="18"/>
  <c r="W31" i="18"/>
  <c r="X31" i="18"/>
  <c r="X29" i="18"/>
  <c r="W59" i="18"/>
  <c r="X59" i="18"/>
  <c r="W30" i="18"/>
  <c r="X30" i="18"/>
  <c r="W28" i="18"/>
  <c r="S157" i="18"/>
  <c r="R166" i="18" s="1"/>
  <c r="G302" i="20"/>
  <c r="K303" i="20"/>
  <c r="I303" i="20"/>
  <c r="J303" i="20"/>
  <c r="X27" i="18"/>
  <c r="W144" i="18"/>
  <c r="X144" i="18"/>
  <c r="X113" i="18"/>
  <c r="W113" i="18"/>
  <c r="X111" i="18"/>
  <c r="W112" i="18"/>
  <c r="X112" i="18"/>
  <c r="X26" i="18"/>
  <c r="W70" i="18"/>
  <c r="X70" i="18"/>
  <c r="X109" i="18"/>
  <c r="W110" i="18"/>
  <c r="X110" i="18"/>
  <c r="X107" i="18"/>
  <c r="W108" i="18"/>
  <c r="X108" i="18"/>
  <c r="X106" i="18"/>
  <c r="W25" i="18"/>
  <c r="X25" i="18"/>
  <c r="X24" i="18"/>
  <c r="W69" i="18"/>
  <c r="X69" i="18"/>
  <c r="W23" i="18"/>
  <c r="W68" i="18"/>
  <c r="X68" i="18"/>
  <c r="W67" i="18"/>
  <c r="X67" i="18"/>
  <c r="W86" i="18"/>
  <c r="X86" i="18"/>
  <c r="S156" i="18"/>
  <c r="S155" i="18"/>
  <c r="W105" i="18"/>
  <c r="X105" i="18"/>
  <c r="X66" i="18"/>
  <c r="W66" i="18"/>
  <c r="W103" i="18"/>
  <c r="X103" i="18"/>
  <c r="W97" i="18"/>
  <c r="X97" i="18"/>
  <c r="W101" i="18"/>
  <c r="X101" i="18"/>
  <c r="W22" i="18"/>
  <c r="X22" i="18"/>
  <c r="W20" i="18"/>
  <c r="X20" i="18"/>
  <c r="W99" i="18"/>
  <c r="X99" i="18"/>
  <c r="X104" i="18"/>
  <c r="W104" i="18"/>
  <c r="W96" i="18"/>
  <c r="X96" i="18"/>
  <c r="W95" i="18"/>
  <c r="X95" i="18"/>
  <c r="W100" i="18"/>
  <c r="X100" i="18"/>
  <c r="W98" i="18"/>
  <c r="X98" i="18"/>
  <c r="W102" i="18"/>
  <c r="X102" i="18"/>
  <c r="W21" i="18"/>
  <c r="X21" i="18"/>
  <c r="AL71" i="18"/>
  <c r="AM72" i="18"/>
  <c r="U155" i="18" l="1"/>
  <c r="R165" i="18"/>
  <c r="W114" i="18"/>
  <c r="U157" i="18"/>
  <c r="V157" i="18" s="1"/>
  <c r="N32" i="18"/>
  <c r="L21" i="18" s="1"/>
  <c r="U156" i="18"/>
  <c r="V156" i="18" s="1"/>
  <c r="N55"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S120" i="18" l="1"/>
  <c r="S121" i="18" s="1"/>
  <c r="S122" i="18" s="1"/>
  <c r="S123" i="18" s="1"/>
  <c r="S124" i="18" s="1"/>
  <c r="E26" i="14"/>
  <c r="G27" i="14"/>
  <c r="I263" i="20"/>
  <c r="K263" i="20"/>
  <c r="G262" i="20"/>
  <c r="J263" i="20"/>
  <c r="D257" i="15"/>
  <c r="F258" i="15"/>
  <c r="AL31" i="18"/>
  <c r="AM32" i="18"/>
  <c r="K61" i="32"/>
  <c r="U61" i="32" s="1"/>
  <c r="K60" i="32"/>
  <c r="U60" i="32" s="1"/>
  <c r="K49" i="32"/>
  <c r="U49" i="32" s="1"/>
  <c r="K48" i="32"/>
  <c r="U48" i="32" s="1"/>
  <c r="K46" i="32"/>
  <c r="I60" i="32"/>
  <c r="I48" i="32"/>
  <c r="S70" i="32"/>
  <c r="V123" i="18" l="1"/>
  <c r="W123" i="18" s="1"/>
  <c r="V119" i="18"/>
  <c r="X119" i="18" s="1"/>
  <c r="E25" i="14"/>
  <c r="G26" i="14"/>
  <c r="G261" i="20"/>
  <c r="I262" i="20"/>
  <c r="J262" i="20"/>
  <c r="K262" i="20"/>
  <c r="D256" i="15"/>
  <c r="F257" i="15"/>
  <c r="AL30" i="18"/>
  <c r="AM31" i="18"/>
  <c r="L60" i="32"/>
  <c r="L48" i="32"/>
  <c r="X123" i="18" l="1"/>
  <c r="S125" i="18"/>
  <c r="W119" i="18"/>
  <c r="E24" i="14"/>
  <c r="G25" i="14"/>
  <c r="J261" i="20"/>
  <c r="I261" i="20"/>
  <c r="K261" i="20"/>
  <c r="G260" i="20"/>
  <c r="D255" i="15"/>
  <c r="F256" i="15"/>
  <c r="AL29" i="18"/>
  <c r="AM30" i="18"/>
  <c r="V124" i="18" l="1"/>
  <c r="X124"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4"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5" i="18" l="1"/>
  <c r="W125" i="18" s="1"/>
  <c r="S126" i="18"/>
  <c r="V120" i="18"/>
  <c r="W120"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6" i="18" l="1"/>
  <c r="W126" i="18" s="1"/>
  <c r="S127" i="18"/>
  <c r="X125" i="18"/>
  <c r="X120"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7" i="18" l="1"/>
  <c r="W127" i="18" s="1"/>
  <c r="S128" i="18"/>
  <c r="X126" i="18"/>
  <c r="G255" i="20"/>
  <c r="I256" i="20"/>
  <c r="J256" i="20"/>
  <c r="K256" i="20"/>
  <c r="D250" i="15"/>
  <c r="F251" i="15"/>
  <c r="AL24" i="18"/>
  <c r="AM25" i="18"/>
  <c r="E178" i="13"/>
  <c r="G179" i="13"/>
  <c r="X127" i="18" l="1"/>
  <c r="V128" i="18"/>
  <c r="W128" i="18" s="1"/>
  <c r="S129" i="18"/>
  <c r="S130" i="18" s="1"/>
  <c r="V121" i="18"/>
  <c r="X121" i="18" s="1"/>
  <c r="G254" i="20"/>
  <c r="J255" i="20"/>
  <c r="I255" i="20"/>
  <c r="K255" i="20"/>
  <c r="D249" i="15"/>
  <c r="F250" i="15"/>
  <c r="AM24" i="18"/>
  <c r="AL23" i="18"/>
  <c r="E177" i="13"/>
  <c r="G178" i="13"/>
  <c r="V129" i="18" l="1"/>
  <c r="X129" i="18" s="1"/>
  <c r="X128" i="18"/>
  <c r="W121" i="18"/>
  <c r="K254" i="20"/>
  <c r="I254" i="20"/>
  <c r="G253" i="20"/>
  <c r="J254" i="20"/>
  <c r="F249" i="15"/>
  <c r="D248" i="15"/>
  <c r="AM23" i="18"/>
  <c r="AL22" i="18"/>
  <c r="E176" i="13"/>
  <c r="G177" i="13"/>
  <c r="D165" i="20"/>
  <c r="W129" i="18" l="1"/>
  <c r="G252" i="20"/>
  <c r="J253" i="20"/>
  <c r="K253" i="20"/>
  <c r="I253" i="20"/>
  <c r="D247" i="15"/>
  <c r="F248" i="15"/>
  <c r="AL21" i="18"/>
  <c r="AL20" i="18" s="1"/>
  <c r="AM22" i="18"/>
  <c r="E175" i="13"/>
  <c r="G176" i="13"/>
  <c r="D164" i="20"/>
  <c r="V130" i="18" l="1"/>
  <c r="W130" i="18" s="1"/>
  <c r="S131"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0" i="18"/>
  <c r="V131" i="18"/>
  <c r="W131" i="18" s="1"/>
  <c r="S132"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2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N1302" i="41" s="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L707" i="41"/>
  <c r="N707" i="41" s="1"/>
  <c r="L627" i="41"/>
  <c r="N627" i="41" s="1"/>
  <c r="L547" i="41"/>
  <c r="N547" i="41" s="1"/>
  <c r="L467" i="41"/>
  <c r="L2322" i="41"/>
  <c r="N2322" i="41" s="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L1342" i="41"/>
  <c r="N1342" i="41" s="1"/>
  <c r="L1267" i="41"/>
  <c r="N1267" i="41" s="1"/>
  <c r="N1232" i="4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7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432" i="41"/>
  <c r="N1362" i="41"/>
  <c r="N1347" i="41"/>
  <c r="L1307" i="41"/>
  <c r="N1307" i="41" s="1"/>
  <c r="L1287" i="41"/>
  <c r="N1287" i="41" s="1"/>
  <c r="L1107" i="41"/>
  <c r="N1107" i="41" s="1"/>
  <c r="L1047" i="41"/>
  <c r="N1047" i="41" s="1"/>
  <c r="N1012" i="41"/>
  <c r="N952" i="4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N787" i="4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7" i="18"/>
  <c r="G250" i="20"/>
  <c r="I251" i="20"/>
  <c r="J251" i="20"/>
  <c r="K251" i="20"/>
  <c r="F246" i="15"/>
  <c r="D245" i="15"/>
  <c r="E173" i="13"/>
  <c r="G174" i="13"/>
  <c r="V132" i="18" l="1"/>
  <c r="W132" i="18" s="1"/>
  <c r="S133" i="18"/>
  <c r="S134" i="18" s="1"/>
  <c r="S135" i="18" s="1"/>
  <c r="X131" i="18"/>
  <c r="X122" i="18"/>
  <c r="W122" i="18"/>
  <c r="U2123" i="41"/>
  <c r="V2123" i="41" s="1"/>
  <c r="X2123" i="41" s="1"/>
  <c r="G249" i="20"/>
  <c r="J250" i="20"/>
  <c r="K250" i="20"/>
  <c r="I250" i="20"/>
  <c r="F245" i="15"/>
  <c r="D244" i="15"/>
  <c r="AN187" i="18"/>
  <c r="AJ192" i="18" s="1"/>
  <c r="E172" i="13"/>
  <c r="G173" i="13"/>
  <c r="D62" i="38"/>
  <c r="V133" i="18" l="1"/>
  <c r="X133" i="18" s="1"/>
  <c r="X132" i="18"/>
  <c r="AJ196" i="18"/>
  <c r="J249" i="20"/>
  <c r="I249" i="20"/>
  <c r="K249" i="20"/>
  <c r="G248" i="20"/>
  <c r="F244" i="15"/>
  <c r="D243" i="15"/>
  <c r="AJ195" i="18"/>
  <c r="E171" i="13"/>
  <c r="G172" i="13"/>
  <c r="W133"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4" i="18" l="1"/>
  <c r="W134"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4"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6" i="18" l="1"/>
  <c r="G235" i="20"/>
  <c r="J236" i="20"/>
  <c r="I236" i="20"/>
  <c r="K236" i="20"/>
  <c r="F231" i="15"/>
  <c r="D230" i="15"/>
  <c r="E158" i="13"/>
  <c r="G159" i="13"/>
  <c r="D154" i="20"/>
  <c r="D153" i="20"/>
  <c r="V135" i="18" l="1"/>
  <c r="X135"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5" i="18" l="1"/>
  <c r="I234" i="20"/>
  <c r="K234" i="20"/>
  <c r="J234" i="20"/>
  <c r="G233" i="20"/>
  <c r="F229" i="15"/>
  <c r="D228" i="15"/>
  <c r="E156" i="13"/>
  <c r="G157" i="13"/>
  <c r="V136" i="18" l="1"/>
  <c r="X136" i="18" s="1"/>
  <c r="S137"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7" i="18" l="1"/>
  <c r="W137" i="18" s="1"/>
  <c r="S138" i="18"/>
  <c r="W136" i="18"/>
  <c r="G231" i="20"/>
  <c r="I232" i="20"/>
  <c r="J232" i="20"/>
  <c r="K232" i="20"/>
  <c r="F227" i="15"/>
  <c r="D226" i="15"/>
  <c r="E154" i="13"/>
  <c r="G155" i="13"/>
  <c r="I46" i="32"/>
  <c r="V138" i="18" l="1"/>
  <c r="W138" i="18" s="1"/>
  <c r="S139" i="18"/>
  <c r="X137" i="18"/>
  <c r="X138"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V139" i="18" l="1"/>
  <c r="W139" i="18" s="1"/>
  <c r="S140"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0" i="18" l="1"/>
  <c r="W140" i="18" s="1"/>
  <c r="S141" i="18"/>
  <c r="X139" i="18"/>
  <c r="X140" i="18"/>
  <c r="G228" i="20"/>
  <c r="J229" i="20"/>
  <c r="K229" i="20"/>
  <c r="I229" i="20"/>
  <c r="E151" i="13"/>
  <c r="G152" i="13"/>
  <c r="V141" i="18" l="1"/>
  <c r="W141" i="18" s="1"/>
  <c r="S142" i="18"/>
  <c r="K228" i="20"/>
  <c r="G227" i="20"/>
  <c r="I228" i="20"/>
  <c r="J228" i="20"/>
  <c r="E150" i="13"/>
  <c r="G151" i="13"/>
  <c r="V142" i="18" l="1"/>
  <c r="S143" i="18"/>
  <c r="V143" i="18" s="1"/>
  <c r="X141" i="18"/>
  <c r="W142" i="18"/>
  <c r="X142" i="18"/>
  <c r="J227" i="20"/>
  <c r="G226" i="20"/>
  <c r="I227" i="20"/>
  <c r="K227" i="20"/>
  <c r="E149" i="13"/>
  <c r="G150" i="13"/>
  <c r="Z32" i="32"/>
  <c r="S45" i="32"/>
  <c r="M45" i="32"/>
  <c r="R45" i="32" s="1"/>
  <c r="W143" i="18" l="1"/>
  <c r="X143" i="18"/>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8" i="18" s="1"/>
  <c r="F24" i="18" l="1"/>
  <c r="G113" i="20"/>
  <c r="J114" i="20"/>
  <c r="I114" i="20"/>
  <c r="K114" i="20"/>
  <c r="L59" i="18"/>
  <c r="E33" i="13"/>
  <c r="G34" i="13"/>
  <c r="F108" i="15"/>
  <c r="C20" i="18"/>
  <c r="G20" i="14"/>
  <c r="G21" i="14"/>
  <c r="G112" i="20" l="1"/>
  <c r="K113" i="20"/>
  <c r="J113" i="20"/>
  <c r="I113" i="20"/>
  <c r="L6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5"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<sst xmlns="http://schemas.openxmlformats.org/spreadsheetml/2006/main" count="12228" uniqueCount="5207">
  <si>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</si>
  <si>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</si>
  <si>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</si>
  <si>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</si>
  <si>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</si>
  <si>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</si>
  <si>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</si>
  <si>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</si>
  <si>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</si>
  <si>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</si>
  <si>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</si>
  <si>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</si>
  <si>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</si>
  <si>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</si>
  <si>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</si>
  <si>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</si>
  <si>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</si>
  <si>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</si>
  <si>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</si>
  <si>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</si>
  <si>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</si>
  <si>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</si>
  <si>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</si>
  <si>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</si>
  <si>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</si>
  <si>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</si>
  <si>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</si>
  <si>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</si>
  <si>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</si>
  <si>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</si>
  <si>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</si>
  <si>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</si>
  <si>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</si>
  <si>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</si>
  <si>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</si>
  <si>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</si>
  <si>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</si>
  <si>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</si>
  <si>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</si>
  <si>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</si>
  <si>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</si>
  <si>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</si>
  <si>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</si>
  <si>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</si>
  <si>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</si>
  <si>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</si>
  <si>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</si>
  <si>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</si>
  <si>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</si>
  <si>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</si>
  <si>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</si>
  <si>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</si>
  <si>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</si>
  <si>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</si>
  <si>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</si>
  <si>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</si>
  <si>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</si>
  <si>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</si>
  <si>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</si>
  <si>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</si>
  <si>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</si>
  <si>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</si>
  <si>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</si>
  <si>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</si>
  <si>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</si>
  <si>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</si>
  <si>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</si>
  <si>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</si>
  <si>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</si>
  <si>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</si>
  <si>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</si>
  <si>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</si>
  <si>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</si>
  <si>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</si>
  <si>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</si>
  <si>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</si>
  <si>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</si>
  <si>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</si>
  <si>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</si>
  <si>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</si>
  <si>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</si>
  <si>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</si>
  <si>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</si>
  <si>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</si>
  <si>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</si>
  <si>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</si>
  <si>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</si>
  <si>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</si>
  <si>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</si>
  <si>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</si>
  <si>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</si>
  <si>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</si>
  <si>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</si>
  <si>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</si>
  <si>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</si>
  <si>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</si>
  <si>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</si>
  <si>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</si>
  <si>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</si>
  <si>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</si>
  <si>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</si>
  <si>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</si>
  <si>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</si>
  <si>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</si>
  <si>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</si>
  <si>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</si>
  <si>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</si>
  <si>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</si>
  <si>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</si>
  <si>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</si>
  <si>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</si>
  <si>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</si>
  <si>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</si>
  <si>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</si>
  <si>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</si>
  <si>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</si>
  <si>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</si>
  <si>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</si>
  <si>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</si>
  <si>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</si>
  <si>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</si>
  <si>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</si>
  <si>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</si>
  <si>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</si>
  <si>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</si>
  <si>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</si>
  <si>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</si>
  <si>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</si>
  <si>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</si>
  <si>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</si>
  <si>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</si>
  <si>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</si>
  <si>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</si>
  <si>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</si>
  <si>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</si>
  <si>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</si>
  <si>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</si>
  <si>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</si>
  <si>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</si>
  <si>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</si>
  <si>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</si>
  <si>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</si>
  <si>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</si>
  <si>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</si>
  <si>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</si>
  <si>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</si>
  <si>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</si>
  <si>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</si>
  <si>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</si>
  <si>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</si>
  <si>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</si>
  <si>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</si>
  <si>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</si>
  <si>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</si>
  <si>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</si>
  <si>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</si>
  <si>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</si>
  <si>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</si>
  <si>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</si>
  <si>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</si>
  <si>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</si>
  <si>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</si>
  <si>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</si>
  <si>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</si>
  <si>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</si>
  <si>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</si>
  <si>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</si>
  <si>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</si>
  <si>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</si>
  <si>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</si>
  <si>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</si>
  <si>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</si>
  <si>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</si>
  <si>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</si>
  <si>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</si>
  <si>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</si>
  <si>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</si>
  <si>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</si>
  <si>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</si>
  <si>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</si>
  <si>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</si>
  <si>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</si>
  <si>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</si>
  <si>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</si>
  <si>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</si>
  <si>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</si>
  <si>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</si>
  <si>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</si>
  <si>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</si>
  <si>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</si>
  <si>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</si>
  <si>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</si>
  <si>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</si>
  <si>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</si>
  <si>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</si>
  <si>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</si>
  <si>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</si>
  <si>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</si>
  <si>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</si>
  <si>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</si>
  <si>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</si>
  <si>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</si>
  <si>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</si>
  <si>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</si>
  <si>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</si>
  <si>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</si>
  <si>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</si>
  <si>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</si>
  <si>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</si>
  <si>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</si>
  <si>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</si>
  <si>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</si>
  <si>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</si>
  <si>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</si>
  <si>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</si>
  <si>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</si>
  <si>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</si>
  <si>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</si>
  <si>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</si>
  <si>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</si>
  <si>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</si>
  <si>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</si>
  <si>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</si>
  <si>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</si>
  <si>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</si>
  <si>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</si>
  <si>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</si>
  <si>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</si>
  <si>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</si>
  <si>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</si>
  <si>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</si>
  <si>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</si>
  <si>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</si>
  <si>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</si>
  <si>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</si>
  <si>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</si>
  <si>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</si>
  <si>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</si>
  <si>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</si>
  <si>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</si>
  <si>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</si>
  <si>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</si>
  <si>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</si>
  <si>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</si>
  <si>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</si>
  <si>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</si>
  <si>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</si>
  <si>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</si>
  <si>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</si>
  <si>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</si>
  <si>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</si>
  <si>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</si>
  <si>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</si>
  <si>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</si>
  <si>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</si>
  <si>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</si>
  <si>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</si>
  <si>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</si>
  <si>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</si>
  <si>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</si>
  <si>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</si>
  <si>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</si>
  <si>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</si>
  <si>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</si>
  <si>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</si>
  <si>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</si>
  <si>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</si>
  <si>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</si>
  <si>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</si>
  <si>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</si>
  <si>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</si>
  <si>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</si>
  <si>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</si>
  <si>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</si>
  <si>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</si>
  <si>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</si>
  <si>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</si>
  <si>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</si>
  <si>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</si>
  <si>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</si>
  <si>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</si>
  <si>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</si>
  <si>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</si>
  <si>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</si>
  <si>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</si>
  <si>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</si>
  <si>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</si>
  <si>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</si>
  <si>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</si>
  <si>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</si>
  <si>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</si>
  <si>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</si>
  <si>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</si>
  <si>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</si>
  <si>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</si>
  <si>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</si>
  <si>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</si>
  <si>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</si>
  <si>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</si>
  <si>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</si>
  <si>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</si>
  <si>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</si>
  <si>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</si>
  <si>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</si>
  <si>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</si>
  <si>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</si>
  <si>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</si>
  <si>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</si>
  <si>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</si>
  <si>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</si>
  <si>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</si>
  <si>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</si>
  <si>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</si>
  <si>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</si>
  <si>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</si>
  <si>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</si>
  <si>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</si>
  <si>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</si>
  <si>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</si>
  <si>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</si>
  <si>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</si>
  <si>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</si>
  <si>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</si>
  <si>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</si>
  <si>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</si>
  <si>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</si>
  <si>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</si>
  <si>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</si>
  <si>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</si>
  <si>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</si>
  <si>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</si>
  <si>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</si>
  <si>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</si>
  <si>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</si>
  <si>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</si>
  <si>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</si>
  <si>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</si>
  <si>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</si>
  <si>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</si>
  <si>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</si>
  <si>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</si>
  <si>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</si>
  <si>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</si>
  <si>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</si>
  <si>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</si>
  <si>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</si>
  <si>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</si>
  <si>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</si>
  <si>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</si>
  <si>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</si>
  <si>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</si>
  <si>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</si>
  <si>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</si>
  <si>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</si>
  <si>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</si>
  <si>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</si>
  <si>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</si>
  <si>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</si>
  <si>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</si>
  <si>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</si>
  <si>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</si>
  <si>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</si>
  <si>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</si>
  <si>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</si>
  <si>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</si>
  <si>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</si>
  <si>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</si>
  <si>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</si>
  <si>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</si>
  <si>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</si>
  <si>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</si>
  <si>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</si>
  <si>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</si>
  <si>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</si>
  <si>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</si>
  <si>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</si>
  <si>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</si>
  <si>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</si>
  <si>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</si>
  <si>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</si>
  <si>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</si>
  <si>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</si>
  <si>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</si>
  <si>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</si>
  <si>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</si>
  <si>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</si>
  <si>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</si>
  <si>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</si>
  <si>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</si>
  <si>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</si>
  <si>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</si>
  <si>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</si>
  <si>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</si>
  <si>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</si>
  <si>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</si>
  <si>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</si>
  <si>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</si>
  <si>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</si>
  <si>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</si>
  <si>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</si>
  <si>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</si>
  <si>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</si>
  <si>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</si>
  <si>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</si>
  <si>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</si>
  <si>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</si>
  <si>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</si>
  <si>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</si>
  <si>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</si>
  <si>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</si>
  <si>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</si>
  <si>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</si>
  <si>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</si>
  <si>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</si>
  <si>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</si>
  <si>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</si>
  <si>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</si>
  <si>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</si>
  <si>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</si>
  <si>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</si>
  <si>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</si>
  <si>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</si>
  <si>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</si>
  <si>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</si>
  <si>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</si>
  <si>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</si>
  <si>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</si>
  <si>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</si>
  <si>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</si>
  <si>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</si>
  <si>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</si>
  <si>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</si>
  <si>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</si>
  <si>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</si>
  <si>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</si>
  <si>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</si>
  <si>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</si>
  <si>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</si>
  <si>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</si>
  <si>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</si>
  <si>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</si>
  <si>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</si>
  <si>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</si>
  <si>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</si>
  <si>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</si>
  <si>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</si>
  <si>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</si>
  <si>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</si>
  <si>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</si>
  <si>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</si>
  <si>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</si>
  <si>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</si>
  <si>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</si>
  <si>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</si>
  <si>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</si>
  <si>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</si>
  <si>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</si>
  <si>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</si>
  <si>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</si>
  <si>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</si>
  <si>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</si>
  <si>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</si>
  <si>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</si>
  <si>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</si>
  <si>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</si>
  <si>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</si>
  <si>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</si>
  <si>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</si>
  <si>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</si>
  <si>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</si>
  <si>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</si>
  <si>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</si>
  <si>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</si>
  <si>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</si>
  <si>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</si>
  <si>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</si>
  <si>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</si>
  <si>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</si>
  <si>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</si>
  <si>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</si>
  <si>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</si>
  <si>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</si>
  <si>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</si>
  <si>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</si>
  <si>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</si>
  <si>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</si>
  <si>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</si>
  <si>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</si>
  <si>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</si>
  <si>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</si>
  <si>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</si>
  <si>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</si>
  <si>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</si>
  <si>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</si>
  <si>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</si>
  <si>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</si>
  <si>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</si>
  <si>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</si>
  <si>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</si>
  <si>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</si>
  <si>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</si>
  <si>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</si>
  <si>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</si>
  <si>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</si>
  <si>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</si>
  <si>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</si>
  <si>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</si>
  <si>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</si>
  <si>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</si>
  <si>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</si>
  <si>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</si>
  <si>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</si>
  <si>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</si>
  <si>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</si>
  <si>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</si>
  <si>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</si>
  <si>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</si>
  <si>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</si>
  <si>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</si>
  <si>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</si>
  <si>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</si>
  <si>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</si>
  <si>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</si>
  <si>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</si>
  <si>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</si>
  <si>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</si>
  <si>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</si>
  <si>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</si>
  <si>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</si>
  <si>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</si>
  <si>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</si>
  <si>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</si>
  <si>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</si>
  <si>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</si>
  <si>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</si>
  <si>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</si>
  <si>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</si>
  <si>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</si>
  <si>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</si>
  <si>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</si>
  <si>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</si>
  <si>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</si>
  <si>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</si>
  <si>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</si>
  <si>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</si>
  <si>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</si>
  <si>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</si>
  <si>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</si>
  <si>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</si>
  <si>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</si>
  <si>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</si>
  <si>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</si>
  <si>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</si>
  <si>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</si>
  <si>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</si>
  <si>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</si>
  <si>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</si>
  <si>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</si>
  <si>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</si>
  <si>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</si>
  <si>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</si>
  <si>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</si>
  <si>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</si>
  <si>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</si>
  <si>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</si>
  <si>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</si>
  <si>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</si>
  <si>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</si>
  <si>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</si>
  <si>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</si>
  <si>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</si>
  <si>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</si>
  <si>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</si>
  <si>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</si>
  <si>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</si>
  <si>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</si>
  <si>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</si>
  <si>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</si>
  <si>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</si>
  <si>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</si>
  <si>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</si>
  <si>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</si>
  <si>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</si>
  <si>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</si>
  <si>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</si>
  <si>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</si>
  <si>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</si>
  <si>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</si>
  <si>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</si>
  <si>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</si>
  <si>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</si>
  <si>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</si>
  <si>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</si>
  <si>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</si>
  <si>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</si>
  <si>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</si>
  <si>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</si>
  <si>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</si>
  <si>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</si>
  <si>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</si>
  <si>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</si>
  <si>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</si>
  <si>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</si>
  <si>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</si>
  <si>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</si>
  <si>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</si>
  <si>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</si>
  <si>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</si>
  <si>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</si>
  <si>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</si>
  <si>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</si>
  <si>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</si>
  <si>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</si>
  <si>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</si>
  <si>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</si>
  <si>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</si>
  <si>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</si>
  <si>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</si>
  <si>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</si>
  <si>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</si>
  <si>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</si>
  <si>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</si>
  <si>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</si>
  <si>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</si>
  <si>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</si>
  <si>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</si>
  <si>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</si>
  <si>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</si>
  <si>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</si>
  <si>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</si>
  <si>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</si>
  <si>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</si>
  <si>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</si>
  <si>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</si>
  <si>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</si>
  <si>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</si>
  <si>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</si>
  <si>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</si>
  <si>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</si>
  <si>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</si>
  <si>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</si>
  <si>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</si>
  <si>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</si>
  <si>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</si>
  <si>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</si>
  <si>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</si>
  <si>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</si>
  <si>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</si>
  <si>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</si>
  <si>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</si>
  <si>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</si>
  <si>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</si>
  <si>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</si>
  <si>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</si>
  <si>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</si>
  <si>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</si>
  <si>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</si>
  <si>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</si>
  <si>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</si>
  <si>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</si>
  <si>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</si>
  <si>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</si>
  <si>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</si>
  <si>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</si>
  <si>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</si>
  <si>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</si>
  <si>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</si>
  <si>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</si>
  <si>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</si>
  <si>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</si>
  <si>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</si>
  <si>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</si>
  <si>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</si>
  <si>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</si>
  <si>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</si>
  <si>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</si>
  <si>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</si>
  <si>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</si>
  <si>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</si>
  <si>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</si>
  <si>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</si>
  <si>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</si>
  <si>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</si>
  <si>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</si>
  <si>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</si>
  <si>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</si>
  <si>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</si>
  <si>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</si>
  <si>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</si>
  <si>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</si>
  <si>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</si>
  <si>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</si>
  <si>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</si>
  <si>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</si>
  <si>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</si>
  <si>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</si>
  <si>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</si>
  <si>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</si>
  <si>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</si>
  <si>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</si>
  <si>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</si>
  <si>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</si>
  <si>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</si>
  <si>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</si>
  <si>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</si>
  <si>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</si>
  <si>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</si>
  <si>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</si>
  <si>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</si>
  <si>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</si>
  <si>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</si>
  <si>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</si>
  <si>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</si>
  <si>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</si>
  <si>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</si>
  <si>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</si>
  <si>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</si>
  <si>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</si>
  <si>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</si>
  <si>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</si>
  <si>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</si>
  <si>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</si>
  <si>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</si>
  <si>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</si>
  <si>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</si>
  <si>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</si>
  <si>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</si>
  <si>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</si>
  <si>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</si>
  <si>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</si>
  <si>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</si>
  <si>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</si>
  <si>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</si>
  <si>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</si>
  <si>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</si>
  <si>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</si>
  <si>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</si>
  <si>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</si>
  <si>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</si>
  <si>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</si>
  <si>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</si>
  <si>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</si>
  <si>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</si>
  <si>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</si>
  <si>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</si>
  <si>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</si>
  <si>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</si>
  <si>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</si>
  <si>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</si>
  <si>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</si>
  <si>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</si>
  <si>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</si>
  <si>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</si>
  <si>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</si>
  <si>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</si>
  <si>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</si>
  <si>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</si>
  <si>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</si>
  <si>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</si>
  <si>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</si>
  <si>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</si>
  <si>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</si>
  <si>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</si>
  <si>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</si>
  <si>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</si>
  <si>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</si>
  <si>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</si>
  <si>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</si>
  <si>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</si>
  <si>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</si>
  <si>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</si>
  <si>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</si>
  <si>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</si>
  <si>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</si>
  <si>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</si>
  <si>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</si>
  <si>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</si>
  <si>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</si>
  <si>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</si>
  <si>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</si>
  <si>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</si>
  <si>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</si>
  <si>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</si>
  <si>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</si>
  <si>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</si>
  <si>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</si>
  <si>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</si>
  <si>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</si>
  <si>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</si>
  <si>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</si>
  <si>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</si>
  <si>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</si>
  <si>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</si>
  <si>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</si>
  <si>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</si>
  <si>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</si>
  <si>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</si>
  <si>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</si>
  <si>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</si>
  <si>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</si>
  <si>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</si>
  <si>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</si>
  <si>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</si>
  <si>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</si>
  <si>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</si>
  <si>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</si>
  <si>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</si>
  <si>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</si>
  <si>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</si>
  <si>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</si>
  <si>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</si>
  <si>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</si>
  <si>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</si>
  <si>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</si>
  <si>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</si>
  <si>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</si>
  <si>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</si>
  <si>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</si>
  <si>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</si>
  <si>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</si>
  <si>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</si>
  <si>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</si>
  <si>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</si>
  <si>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</si>
  <si>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</si>
  <si>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</si>
  <si>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</si>
  <si>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</si>
  <si>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</si>
  <si>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</si>
  <si>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</si>
  <si>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</si>
  <si>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</si>
  <si>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</si>
  <si>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</si>
  <si>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</si>
  <si>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</si>
  <si>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</si>
  <si>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</si>
  <si>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</si>
  <si>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</si>
  <si>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</si>
  <si>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</si>
  <si>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</si>
  <si>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</si>
  <si>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</si>
  <si>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</si>
  <si>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</si>
  <si>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</si>
  <si>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</si>
  <si>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</si>
  <si>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</si>
  <si>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</si>
  <si>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</si>
  <si>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</si>
  <si>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</si>
  <si>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</si>
  <si>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</si>
  <si>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</si>
  <si>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</si>
  <si>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</si>
  <si>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</si>
  <si>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</si>
  <si>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</si>
  <si>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</si>
  <si>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</si>
  <si>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</si>
  <si>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</si>
  <si>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</si>
  <si>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</si>
  <si>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</si>
  <si>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</si>
  <si>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</si>
  <si>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</si>
  <si>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</si>
  <si>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</si>
  <si>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</si>
  <si>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</si>
  <si>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</si>
  <si>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</si>
  <si>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</si>
  <si>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</si>
  <si>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</si>
  <si>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</si>
  <si>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</si>
  <si>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</si>
  <si>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</si>
  <si>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</si>
  <si>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</si>
  <si>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</si>
  <si>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</si>
  <si>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</si>
  <si>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</si>
  <si>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</si>
  <si>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</si>
  <si>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</si>
  <si>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</si>
  <si>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</si>
  <si>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</si>
  <si>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</si>
  <si>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</si>
  <si>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</si>
  <si>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</si>
  <si>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</si>
  <si>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</si>
  <si>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</si>
  <si>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</si>
  <si>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</si>
  <si>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</si>
  <si>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</si>
  <si>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</si>
  <si>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</si>
  <si>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</si>
  <si>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</si>
  <si>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</si>
  <si>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</si>
  <si>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</si>
  <si>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</si>
  <si>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</si>
  <si>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</si>
  <si>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</si>
  <si>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</si>
  <si>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</si>
  <si>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</si>
  <si>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</si>
  <si>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</si>
  <si>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</si>
  <si>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</si>
  <si>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</si>
  <si>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</si>
  <si>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</si>
  <si>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</si>
  <si>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</si>
  <si>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</si>
  <si>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</si>
  <si>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</si>
  <si>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</si>
  <si>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</si>
  <si>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</si>
  <si>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</si>
  <si>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</si>
  <si>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</si>
  <si>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</si>
  <si>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</si>
  <si>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</si>
  <si>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</si>
  <si>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</si>
  <si>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</si>
  <si>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</si>
  <si>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</si>
  <si>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</si>
  <si>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</si>
  <si>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</si>
  <si>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</si>
  <si>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</si>
  <si>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</si>
  <si>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</si>
  <si>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</si>
  <si>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</si>
  <si>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</si>
  <si>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</si>
  <si>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</si>
  <si>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</si>
  <si>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</si>
  <si>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</si>
  <si>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</si>
  <si>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</si>
  <si>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</si>
  <si>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</si>
  <si>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</si>
  <si>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</si>
  <si>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</si>
  <si>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</si>
  <si>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</si>
  <si>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</si>
  <si>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</si>
  <si>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</si>
  <si>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</si>
  <si>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</si>
  <si>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</si>
  <si>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</si>
  <si>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</si>
  <si>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</si>
  <si>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</si>
  <si>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</si>
  <si>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</si>
  <si>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</si>
  <si>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</si>
  <si>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</si>
  <si>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</si>
  <si>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</si>
  <si>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</si>
  <si>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</si>
  <si>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</si>
  <si>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</si>
  <si>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</si>
  <si>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</si>
  <si>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</si>
  <si>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</si>
  <si>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</si>
  <si>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</si>
  <si>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</si>
  <si>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</si>
  <si>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</si>
  <si>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</si>
  <si>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</si>
  <si>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</si>
  <si>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</si>
  <si>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</si>
  <si>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</si>
  <si>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</si>
  <si>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</si>
  <si>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</si>
  <si>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</si>
  <si>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</si>
  <si>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</si>
  <si>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</si>
  <si>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</si>
  <si>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</si>
  <si>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</si>
  <si>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</si>
  <si>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</si>
  <si>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</si>
  <si>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</si>
  <si>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</si>
  <si>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</si>
  <si>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</si>
  <si>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</si>
  <si>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</si>
  <si>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</si>
  <si>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</si>
  <si>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</si>
  <si>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</si>
  <si>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</si>
  <si>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</si>
  <si>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</si>
  <si>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</si>
  <si>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</si>
  <si>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</si>
  <si>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</si>
  <si>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</si>
  <si>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</si>
  <si>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</si>
  <si>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</si>
  <si>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</si>
  <si>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</si>
  <si>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</si>
  <si>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</si>
  <si>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</si>
  <si>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</si>
  <si>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</si>
  <si>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</si>
  <si>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</si>
  <si>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</si>
  <si>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</si>
  <si>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</si>
  <si>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</si>
  <si>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</si>
  <si>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</si>
  <si>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</si>
  <si>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</si>
  <si>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</si>
  <si>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</si>
  <si>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</si>
  <si>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</si>
  <si>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</si>
  <si>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</si>
  <si>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</si>
  <si>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</si>
  <si>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</si>
  <si>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</si>
  <si>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</si>
  <si>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</si>
  <si>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</si>
  <si>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</si>
  <si>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</si>
  <si>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</si>
  <si>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</si>
  <si>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</si>
  <si>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</si>
  <si>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</si>
  <si>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</si>
  <si>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</si>
  <si>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</si>
  <si>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</si>
  <si>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</si>
  <si>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</si>
  <si>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</si>
  <si>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</si>
  <si>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</si>
  <si>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</si>
  <si>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</si>
  <si>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</si>
  <si>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</si>
  <si>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</si>
  <si>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</si>
  <si>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</si>
  <si>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</si>
  <si>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</si>
  <si>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</si>
  <si>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</si>
  <si>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</si>
  <si>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</si>
  <si>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</si>
  <si>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</si>
  <si>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</si>
  <si>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</si>
  <si>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</si>
  <si>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</si>
  <si>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</si>
  <si>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</si>
  <si>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</si>
  <si>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</si>
  <si>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</si>
  <si>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</si>
  <si>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</si>
  <si>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</si>
  <si>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</si>
  <si>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</si>
  <si>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</si>
  <si>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</si>
  <si>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</si>
  <si>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</si>
  <si>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</si>
  <si>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</si>
  <si>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</si>
  <si>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</si>
  <si>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</si>
  <si>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</si>
  <si>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</si>
  <si>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</si>
  <si>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</si>
  <si>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</si>
  <si>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</si>
  <si>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</si>
  <si>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</si>
  <si>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</si>
  <si>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</si>
  <si>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</si>
  <si>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</si>
  <si>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</si>
  <si>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</si>
  <si>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</si>
  <si>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</si>
  <si>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</si>
  <si>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</si>
  <si>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</si>
  <si>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</si>
  <si>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</si>
  <si>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</si>
  <si>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</si>
  <si>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</si>
  <si>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</si>
  <si>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</si>
  <si>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</si>
  <si>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</si>
  <si>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</si>
  <si>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</si>
  <si>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</si>
  <si>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</si>
  <si>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</si>
  <si>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</si>
  <si>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</si>
  <si>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</si>
  <si>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</si>
  <si>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</si>
  <si>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</si>
  <si>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</si>
  <si>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</si>
  <si>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</si>
  <si>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</si>
  <si>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</si>
  <si>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</si>
  <si>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</si>
  <si>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</si>
  <si>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</si>
  <si>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</si>
  <si>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</si>
  <si>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</si>
  <si>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</si>
  <si>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</si>
  <si>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</si>
  <si>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</si>
  <si>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</si>
  <si>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</si>
  <si>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</si>
  <si>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</si>
  <si>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</si>
  <si>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</si>
  <si>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</si>
  <si>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</si>
  <si>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</si>
  <si>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</si>
  <si>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</si>
  <si>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</si>
  <si>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</si>
  <si>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</si>
  <si>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</si>
  <si>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</si>
  <si>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</si>
  <si>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</si>
  <si>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</si>
  <si>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</si>
  <si>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</si>
  <si>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</si>
  <si>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</si>
  <si>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</si>
  <si>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</si>
  <si>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</si>
  <si>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</si>
  <si>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</si>
  <si>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</si>
  <si>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</si>
  <si>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</si>
  <si>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</si>
  <si>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</si>
  <si>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</si>
  <si>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</si>
  <si>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</si>
  <si>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</si>
  <si>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</si>
  <si>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</si>
  <si>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</si>
  <si>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</si>
  <si>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</si>
  <si>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</si>
  <si>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</si>
  <si>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</si>
  <si>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</si>
  <si>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</si>
  <si>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</si>
  <si>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</si>
  <si>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</si>
  <si>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</si>
  <si>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</si>
  <si>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</si>
  <si>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</si>
  <si>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</si>
  <si>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</si>
  <si>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</si>
  <si>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</si>
  <si>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</si>
  <si>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</si>
  <si>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</si>
  <si>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</si>
  <si>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</si>
  <si>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</si>
  <si>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</si>
  <si>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</si>
  <si>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</si>
  <si>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</si>
  <si>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</si>
  <si>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</si>
  <si>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</si>
  <si>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</si>
  <si>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</si>
  <si>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</si>
  <si>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</si>
  <si>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</si>
  <si>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</si>
  <si>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</si>
  <si>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</si>
  <si>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</si>
  <si>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</si>
  <si>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</si>
  <si>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</si>
  <si>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</si>
  <si>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</si>
  <si>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</si>
  <si>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</si>
  <si>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</si>
  <si>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</si>
  <si>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</si>
  <si>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</si>
  <si>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</si>
  <si>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</si>
  <si>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</si>
  <si>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</si>
  <si>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</si>
  <si>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</si>
  <si>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</si>
  <si>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</si>
  <si>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</si>
  <si>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</si>
  <si>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</si>
  <si>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</si>
  <si>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</si>
  <si>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</si>
  <si>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</si>
  <si>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</si>
  <si>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</si>
  <si>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</si>
  <si>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</si>
  <si>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</si>
  <si>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</si>
  <si>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</si>
  <si>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</si>
  <si>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</si>
  <si>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</si>
  <si>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</si>
  <si>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</si>
  <si>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</si>
  <si>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</si>
  <si>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</si>
  <si>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</si>
  <si>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</si>
  <si>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</si>
  <si>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</si>
  <si>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</si>
  <si>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</si>
  <si>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</si>
  <si>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</si>
  <si>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</si>
  <si>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</si>
  <si>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</si>
  <si>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</si>
  <si>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</si>
  <si>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</si>
  <si>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</si>
  <si>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</si>
  <si>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</si>
  <si>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</si>
  <si>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</si>
  <si>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</si>
  <si>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</si>
  <si>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</si>
  <si>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</si>
  <si>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</si>
  <si>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</si>
  <si>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</si>
  <si>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</si>
  <si>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</si>
  <si>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</si>
  <si>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</si>
  <si>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</si>
  <si>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</si>
  <si>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</si>
  <si>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</si>
  <si>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</si>
  <si>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</si>
  <si>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</si>
  <si>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</si>
  <si>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</si>
  <si>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</si>
  <si>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</si>
  <si>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</si>
  <si>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</si>
  <si>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</si>
  <si>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</si>
  <si>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</si>
  <si>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</si>
  <si>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</si>
  <si>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</si>
  <si>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</si>
  <si>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</si>
  <si>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</si>
  <si>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</si>
  <si>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</si>
  <si>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</si>
  <si>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</si>
  <si>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</si>
  <si>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</si>
  <si>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</si>
  <si>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</si>
  <si>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</si>
  <si>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</si>
  <si>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</si>
  <si>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</si>
  <si>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</si>
  <si>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</si>
  <si>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</si>
  <si>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</si>
  <si>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</si>
  <si>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</si>
  <si>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</si>
  <si>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</si>
  <si>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</si>
  <si>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</si>
  <si>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</si>
  <si>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</si>
  <si>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</si>
  <si>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</si>
  <si>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</si>
  <si>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</si>
  <si>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</si>
  <si>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</si>
  <si>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</si>
  <si>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</si>
  <si>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</si>
  <si>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</si>
  <si>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</si>
  <si>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</si>
  <si>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</si>
  <si>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</si>
  <si>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</si>
  <si>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</si>
  <si>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</si>
  <si>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</si>
  <si>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</si>
  <si>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</si>
  <si>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</si>
  <si>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</si>
  <si>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</si>
  <si>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</si>
  <si>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</si>
  <si>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</si>
  <si>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</si>
  <si>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</si>
  <si>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</si>
  <si>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</si>
  <si>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</si>
  <si>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</si>
  <si>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</si>
  <si>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</si>
  <si>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</si>
  <si>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</si>
  <si>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</si>
  <si>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</si>
  <si>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</si>
  <si>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</si>
  <si>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</si>
  <si>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</si>
  <si>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</si>
  <si>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</si>
  <si>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</si>
  <si>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</si>
  <si>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</si>
  <si>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</si>
  <si>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</si>
  <si>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</si>
  <si>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</si>
  <si>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</si>
  <si>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</si>
  <si>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</si>
  <si>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</si>
  <si>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</si>
  <si>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</si>
  <si>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</si>
  <si>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</si>
  <si>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</si>
  <si>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</si>
  <si>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</si>
  <si>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</si>
  <si>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</si>
  <si>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</si>
  <si>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</si>
  <si>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</si>
  <si>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</si>
  <si>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</si>
  <si>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</si>
  <si>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</si>
  <si>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</si>
  <si>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</si>
  <si>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</si>
  <si>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</si>
  <si>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</si>
  <si>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</si>
  <si>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</si>
  <si>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</si>
  <si>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</si>
  <si>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</si>
  <si>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</si>
  <si>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</si>
  <si>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</si>
  <si>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</si>
  <si>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</si>
  <si>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</si>
  <si>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</si>
  <si>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</si>
  <si>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</si>
  <si>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</si>
  <si>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</si>
  <si>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</si>
  <si>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</si>
  <si>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</si>
  <si>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</si>
  <si>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</si>
  <si>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</si>
  <si>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</si>
  <si>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</si>
  <si>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</si>
  <si>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</si>
  <si>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</si>
  <si>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</si>
  <si>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</si>
  <si>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</si>
  <si>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</si>
  <si>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</si>
  <si>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</si>
  <si>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</si>
  <si>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</si>
  <si>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</si>
  <si>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</si>
  <si>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</si>
  <si>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</si>
  <si>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</si>
  <si>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</si>
  <si>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</si>
  <si>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</si>
  <si>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</si>
  <si>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</si>
  <si>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</si>
  <si>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</si>
  <si>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</si>
  <si>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</si>
  <si>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</si>
  <si>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</si>
  <si>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</si>
  <si>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</si>
  <si>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</si>
  <si>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</si>
  <si>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</si>
  <si>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</si>
  <si>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</si>
  <si>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</si>
  <si>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</si>
  <si>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</si>
  <si>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</si>
  <si>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</si>
  <si>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</si>
  <si>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</si>
  <si>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</si>
  <si>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</si>
  <si>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</si>
  <si>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</si>
  <si>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</si>
  <si>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</si>
  <si>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</si>
  <si>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</si>
  <si>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</si>
  <si>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</si>
  <si>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</si>
  <si>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</si>
  <si>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</si>
  <si>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</si>
  <si>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</si>
  <si>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</si>
  <si>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</si>
  <si>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</si>
  <si>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</si>
  <si>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</si>
  <si>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</si>
  <si>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</si>
  <si>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</si>
  <si>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</si>
  <si>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</si>
  <si>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</si>
  <si>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</si>
  <si>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</si>
  <si>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</si>
  <si>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</si>
  <si>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</si>
  <si>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</si>
  <si>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</si>
  <si>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</si>
  <si>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</si>
  <si>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</si>
  <si>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</si>
  <si>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</si>
  <si>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</si>
  <si>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</si>
  <si>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</si>
  <si>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</si>
  <si>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</si>
  <si>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</si>
  <si>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</si>
  <si>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</si>
  <si>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</si>
  <si>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</si>
  <si>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</si>
  <si>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</si>
  <si>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</si>
  <si>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</si>
  <si>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</si>
  <si>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</si>
  <si>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</si>
  <si>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</si>
  <si>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</si>
  <si>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</si>
  <si>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</si>
  <si>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</si>
  <si>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</si>
  <si>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</si>
  <si>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</si>
  <si>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</si>
  <si>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</si>
  <si>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</si>
  <si>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</si>
  <si>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</si>
  <si>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</si>
  <si>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</si>
  <si>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</si>
  <si>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</si>
  <si>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</si>
  <si>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</si>
  <si>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</si>
  <si>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</si>
  <si>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</si>
  <si>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</si>
  <si>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</si>
  <si>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</si>
  <si>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</si>
  <si>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</si>
  <si>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</si>
  <si>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</si>
  <si>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</si>
  <si>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</si>
  <si>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</si>
  <si>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</si>
  <si>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</si>
  <si>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</si>
  <si>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</si>
  <si>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</si>
  <si>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</si>
  <si>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</si>
  <si>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</si>
  <si>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</si>
  <si>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</si>
  <si>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</si>
  <si>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</si>
  <si>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</si>
  <si>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</si>
  <si>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</si>
  <si>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</si>
  <si>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</si>
  <si>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</si>
  <si>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</si>
  <si>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</si>
  <si>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</si>
  <si>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</si>
  <si>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</si>
  <si>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</si>
  <si>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</si>
  <si>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</si>
  <si>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</si>
  <si>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</si>
  <si>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</si>
  <si>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</si>
  <si>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</si>
  <si>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</si>
  <si>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</si>
  <si>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</si>
  <si>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</si>
  <si>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</si>
  <si>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</si>
  <si>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</si>
  <si>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</si>
  <si>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</si>
  <si>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</si>
  <si>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</si>
  <si>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</si>
  <si>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</si>
  <si>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</si>
  <si>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</si>
  <si>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</si>
  <si>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</si>
  <si>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</si>
  <si>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</si>
  <si>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</si>
  <si>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</si>
  <si>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</si>
  <si>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</si>
  <si>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</si>
  <si>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</si>
  <si>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</si>
  <si>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</si>
  <si>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</si>
  <si>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</si>
  <si>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</si>
  <si>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</si>
  <si>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</si>
  <si>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</si>
  <si>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</si>
  <si>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</si>
  <si>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</si>
  <si>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</si>
  <si>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</si>
  <si>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</si>
  <si>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</si>
  <si>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</si>
  <si>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</si>
  <si>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</si>
  <si>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</si>
  <si>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</si>
  <si>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</si>
  <si>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</si>
  <si>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</si>
  <si>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</si>
  <si>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</si>
  <si>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</si>
  <si>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</si>
  <si>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</si>
  <si>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</si>
  <si>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</si>
  <si>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</si>
  <si>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</si>
  <si>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</si>
  <si>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</si>
  <si>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</si>
  <si>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</si>
  <si>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</si>
  <si>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</si>
  <si>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</si>
  <si>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</si>
  <si>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</si>
  <si>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</si>
  <si>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</si>
  <si>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</si>
  <si>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</si>
  <si>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</si>
  <si>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</si>
  <si>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</si>
  <si>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</si>
  <si>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</si>
  <si>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</si>
  <si>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</si>
  <si>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</si>
  <si>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</si>
  <si>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</si>
  <si>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</si>
  <si>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</si>
  <si>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</si>
  <si>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</si>
  <si>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</si>
  <si>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</si>
  <si>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</si>
  <si>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</si>
  <si>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</si>
  <si>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</si>
  <si>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</si>
  <si>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</si>
  <si>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</si>
  <si>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</si>
  <si>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</si>
  <si>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</si>
  <si>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</si>
  <si>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</si>
  <si>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</si>
  <si>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</si>
  <si>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</si>
  <si>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</si>
  <si>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</si>
  <si>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</si>
  <si>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</si>
  <si>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</si>
  <si>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</si>
  <si>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</si>
  <si>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</si>
  <si>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</si>
  <si>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</si>
  <si>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</si>
  <si>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</si>
  <si>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</si>
  <si>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</si>
  <si>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</si>
  <si>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</si>
  <si>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</si>
  <si>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</si>
  <si>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</si>
  <si>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</si>
  <si>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</si>
  <si>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</si>
  <si>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</si>
  <si>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</si>
  <si>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</si>
  <si>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</si>
  <si>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</si>
  <si>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</si>
  <si>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</si>
  <si>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</si>
  <si>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</si>
  <si>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</si>
  <si>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</si>
  <si>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</si>
  <si>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</si>
  <si>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</si>
  <si>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</si>
  <si>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</si>
  <si>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</si>
  <si>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</si>
  <si>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</si>
  <si>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</si>
  <si>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</si>
  <si>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</si>
  <si>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</si>
  <si>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</si>
  <si>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</si>
  <si>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</si>
  <si>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</si>
  <si>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</si>
  <si>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</si>
  <si>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</si>
  <si>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</si>
  <si>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</si>
  <si>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</si>
  <si>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</si>
  <si>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</si>
  <si>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</si>
  <si>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</si>
  <si>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</si>
  <si>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</si>
  <si>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</si>
  <si>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</si>
  <si>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</si>
  <si>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</si>
  <si>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</si>
  <si>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</si>
  <si>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</si>
  <si>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</si>
  <si>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</si>
  <si>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</si>
  <si>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</si>
  <si>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</si>
  <si>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</si>
  <si>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</si>
  <si>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</si>
  <si>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</si>
  <si>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</si>
  <si>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</si>
  <si>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</si>
  <si>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</si>
  <si>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</si>
  <si>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</si>
  <si>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</si>
  <si>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</si>
  <si>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</si>
  <si>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</si>
  <si>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</si>
  <si>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</si>
  <si>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</si>
  <si>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</si>
  <si>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</si>
  <si>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</si>
  <si>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</si>
  <si>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</si>
  <si>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</si>
  <si>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</si>
  <si>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</si>
  <si>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</si>
  <si>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</si>
  <si>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</si>
  <si>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</si>
  <si>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</si>
  <si>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</si>
  <si>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</si>
  <si>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</si>
  <si>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</si>
  <si>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</si>
  <si>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</si>
  <si>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</si>
  <si>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</si>
  <si>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</si>
  <si>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</si>
  <si>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</si>
  <si>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</si>
  <si>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</si>
  <si>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</si>
  <si>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</si>
  <si>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</si>
  <si>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</si>
  <si>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</si>
  <si>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</si>
  <si>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</si>
  <si>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</si>
  <si>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</si>
  <si>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</si>
  <si>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</si>
  <si>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</si>
  <si>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</si>
  <si>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</si>
  <si>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</si>
  <si>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</si>
  <si>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</si>
  <si>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</si>
  <si>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</si>
  <si>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</si>
  <si>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</si>
  <si>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</si>
  <si>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</si>
  <si>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</si>
  <si>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</si>
  <si>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</si>
  <si>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</si>
  <si>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</si>
  <si>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</si>
  <si>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</si>
  <si>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</si>
  <si>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</si>
  <si>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</si>
  <si>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</si>
  <si>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</si>
  <si>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</si>
  <si>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</si>
  <si>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</si>
  <si>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</si>
  <si>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</si>
  <si>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</si>
  <si>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</si>
  <si>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</si>
  <si>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</si>
  <si>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</si>
  <si>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</si>
  <si>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</si>
  <si>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</si>
  <si>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</si>
  <si>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</si>
  <si>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</si>
  <si>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</si>
  <si>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</si>
  <si>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</si>
  <si>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</si>
  <si>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</si>
  <si>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</si>
  <si>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</si>
  <si>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</si>
  <si>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</si>
  <si>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</si>
  <si>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</si>
  <si>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</si>
  <si>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</si>
  <si>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</si>
  <si>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</si>
  <si>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</si>
  <si>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</si>
  <si>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</si>
  <si>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</si>
  <si>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</si>
  <si>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</si>
  <si>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</si>
  <si>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</si>
  <si>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</si>
  <si>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</si>
  <si>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</si>
  <si>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</si>
  <si>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</si>
  <si>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</si>
  <si>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</si>
  <si>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</si>
  <si>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</si>
  <si>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</si>
  <si>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</si>
  <si>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</si>
  <si>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</si>
  <si>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</si>
  <si>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</si>
  <si>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</si>
  <si>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</si>
  <si>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</si>
  <si>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</si>
  <si>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</si>
  <si>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</si>
  <si>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</si>
  <si>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</si>
  <si>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</si>
  <si>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</si>
  <si>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</si>
  <si>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</si>
  <si>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</si>
  <si>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</si>
  <si>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</si>
  <si>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</si>
  <si>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</si>
  <si>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</si>
  <si>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</si>
  <si>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</si>
  <si>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</si>
  <si>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</si>
  <si>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</si>
  <si>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</si>
  <si>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</si>
  <si>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</si>
  <si>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</si>
  <si>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</si>
  <si>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</si>
  <si>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</si>
  <si>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</si>
  <si>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</si>
  <si>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</si>
  <si>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</si>
  <si>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</si>
  <si>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</si>
  <si>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</si>
  <si>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</si>
  <si>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</si>
  <si>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</si>
  <si>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</si>
  <si>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</si>
  <si>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</si>
  <si>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</si>
  <si>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</si>
  <si>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</si>
  <si>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</si>
  <si>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</si>
  <si>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</si>
  <si>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</si>
  <si>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</si>
  <si>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</si>
  <si>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</si>
  <si>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</si>
  <si>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</si>
  <si>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</si>
  <si>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</si>
  <si>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</si>
  <si>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</si>
  <si>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</si>
  <si>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</si>
  <si>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</si>
  <si>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</si>
  <si>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</si>
  <si>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</si>
  <si>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</si>
  <si>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</si>
  <si>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</si>
  <si>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</si>
  <si>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</si>
  <si>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</si>
  <si>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</si>
  <si>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</si>
  <si>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</si>
  <si>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</si>
  <si>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</si>
  <si>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</si>
  <si>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</si>
  <si>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</si>
  <si>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</si>
  <si>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</si>
  <si>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</si>
  <si>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</si>
  <si>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</si>
  <si>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</si>
  <si>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</si>
  <si>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</si>
  <si>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</si>
  <si>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</si>
  <si>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</si>
  <si>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</si>
  <si>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</si>
  <si>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</si>
  <si>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</si>
  <si>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</si>
  <si>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</si>
  <si>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</si>
  <si>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</si>
  <si>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</si>
  <si>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</si>
  <si>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</si>
  <si>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</si>
  <si>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</si>
  <si>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</si>
  <si>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</si>
  <si>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</si>
  <si>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</si>
  <si>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</si>
  <si>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</si>
  <si>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</si>
  <si>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</si>
  <si>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</si>
  <si>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</si>
  <si>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</si>
  <si>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</si>
  <si>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</si>
  <si>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</si>
  <si>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</si>
  <si>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</si>
  <si>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</si>
  <si>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</si>
  <si>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</si>
  <si>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</si>
  <si>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</si>
  <si>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</si>
  <si>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</si>
  <si>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</si>
  <si>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</si>
  <si>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</si>
  <si>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</si>
  <si>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</si>
  <si>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</si>
  <si>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</si>
  <si>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</si>
  <si>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</si>
  <si>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</si>
  <si>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</si>
  <si>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</si>
  <si>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</si>
  <si>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</si>
  <si>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</si>
  <si>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</si>
  <si>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</si>
  <si>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</si>
  <si>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</si>
  <si>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</si>
  <si>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</si>
  <si>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</si>
  <si>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</si>
  <si>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</si>
  <si>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</si>
  <si>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</si>
  <si>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</si>
  <si>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</si>
  <si>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</si>
  <si>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</si>
  <si>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</si>
  <si>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</si>
  <si>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</si>
  <si>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</si>
  <si>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</si>
  <si>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</si>
  <si>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</si>
  <si>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</si>
  <si>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</si>
  <si>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</si>
  <si>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</si>
  <si>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</si>
  <si>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</si>
  <si>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</si>
  <si>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</si>
  <si>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</si>
  <si>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</si>
  <si>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</si>
  <si>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</si>
  <si>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</si>
  <si>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</si>
  <si>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</si>
  <si>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</si>
  <si>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</si>
  <si>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</si>
  <si>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</si>
  <si>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</si>
  <si>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</si>
  <si>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</si>
  <si>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</si>
  <si>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</si>
  <si>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</si>
  <si>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</si>
  <si>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</si>
  <si>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</si>
  <si>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</si>
  <si>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</si>
  <si>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</si>
  <si>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</si>
  <si>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</si>
  <si>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</si>
  <si>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</si>
  <si>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</si>
  <si>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</si>
  <si>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</si>
  <si>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</si>
  <si>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</si>
  <si>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</si>
  <si>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</si>
  <si>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</si>
  <si>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</si>
  <si>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</si>
  <si>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</si>
  <si>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</si>
  <si>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</si>
  <si>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</si>
  <si>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</si>
  <si>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</si>
  <si>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</si>
  <si>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</si>
  <si>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</si>
  <si>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</si>
  <si>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</si>
  <si>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</si>
  <si>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</si>
  <si>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</si>
  <si>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</si>
  <si>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</si>
  <si>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</si>
  <si>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</si>
  <si>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</si>
  <si>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</si>
  <si>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</si>
  <si>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</si>
  <si>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</si>
  <si>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</si>
  <si>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</si>
  <si>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</si>
  <si>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</si>
  <si>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</si>
  <si>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</si>
  <si>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</si>
  <si>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</si>
  <si>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</si>
  <si>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</si>
  <si>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</si>
  <si>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</si>
  <si>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</si>
  <si>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</si>
  <si>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</si>
  <si>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</si>
  <si>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</si>
  <si>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</si>
  <si>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</si>
  <si>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</si>
  <si>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</si>
  <si>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</si>
  <si>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</si>
  <si>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</si>
  <si>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</si>
  <si>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</si>
  <si>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</si>
  <si>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</si>
  <si>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</si>
  <si>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</si>
  <si>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</si>
  <si>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</si>
  <si>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</si>
  <si>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</si>
  <si>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</si>
  <si>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</si>
  <si>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</si>
  <si>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</si>
  <si>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</si>
  <si>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</si>
  <si>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</si>
  <si>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</si>
  <si>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</si>
  <si>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</si>
  <si>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</si>
  <si>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</si>
  <si>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</si>
  <si>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</si>
  <si>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</si>
  <si>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</si>
  <si>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</si>
  <si>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</si>
  <si>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</si>
  <si>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</si>
  <si>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</si>
  <si>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</si>
  <si>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</si>
  <si>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</si>
  <si>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</si>
  <si>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</si>
  <si>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</si>
  <si>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</si>
  <si>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</si>
  <si>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</si>
  <si>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</si>
  <si>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</si>
  <si>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</si>
  <si>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</si>
  <si>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</si>
  <si>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</si>
  <si>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</si>
  <si>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</si>
  <si>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</si>
  <si>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</si>
  <si>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</si>
  <si>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</si>
  <si>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</si>
  <si>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</si>
  <si>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</si>
  <si>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</si>
  <si>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</si>
  <si>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</si>
  <si>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</si>
  <si>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</si>
  <si>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</si>
  <si>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</si>
  <si>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</si>
  <si>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</si>
  <si>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</si>
  <si>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</si>
  <si>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</si>
  <si>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</si>
  <si>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</si>
  <si>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</si>
  <si>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</si>
  <si>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</si>
  <si>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</si>
  <si>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</si>
  <si>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</si>
  <si>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</si>
  <si>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</si>
  <si>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</si>
  <si>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</si>
  <si>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</si>
  <si>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</si>
  <si>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</si>
  <si>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</si>
  <si>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</si>
  <si>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</si>
  <si>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</si>
  <si>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</si>
  <si>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</si>
  <si>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</si>
  <si>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</si>
  <si>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</si>
  <si>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</si>
  <si>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</si>
  <si>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</si>
  <si>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</si>
  <si>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</si>
  <si>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</si>
  <si>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</si>
  <si>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</si>
  <si>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</si>
  <si>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</si>
  <si>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</si>
  <si>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</si>
  <si>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</si>
  <si>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</si>
  <si>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</si>
  <si>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</si>
  <si>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</si>
  <si>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</si>
  <si>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</si>
  <si>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</si>
  <si>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</si>
  <si>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</si>
  <si>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</si>
  <si>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</si>
  <si>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</si>
  <si>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</si>
  <si>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</si>
  <si>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</si>
  <si>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</si>
  <si>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</si>
  <si>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</si>
  <si>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</si>
  <si>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</si>
  <si>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</si>
  <si>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</si>
  <si>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</si>
  <si>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</si>
  <si>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</si>
  <si>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</si>
  <si>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</si>
  <si>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</si>
  <si>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</si>
  <si>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</si>
  <si>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</si>
  <si>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</si>
  <si>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</si>
  <si>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</si>
  <si>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</si>
  <si>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</si>
  <si>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</si>
  <si>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</si>
  <si>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</si>
  <si>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</si>
  <si>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</si>
  <si>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</si>
  <si>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</si>
  <si>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</si>
  <si>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</si>
  <si>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</si>
  <si>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</si>
  <si>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</si>
  <si>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</si>
  <si>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</si>
  <si>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</si>
  <si>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</si>
  <si>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</si>
  <si>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</si>
  <si>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</si>
  <si>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</si>
  <si>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</si>
  <si>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</si>
  <si>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</si>
  <si>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</si>
  <si>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</si>
  <si>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</si>
  <si>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</si>
  <si>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</si>
  <si>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</si>
  <si>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</si>
  <si>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</si>
  <si>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</si>
  <si>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</si>
  <si>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</si>
  <si>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</si>
  <si>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</si>
  <si>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</si>
  <si>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</si>
  <si>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</si>
  <si>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</si>
  <si>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</si>
  <si>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</si>
  <si>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</si>
  <si>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</si>
  <si>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</si>
  <si>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</si>
  <si>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</si>
  <si>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</si>
  <si>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</si>
  <si>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</si>
  <si>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</si>
  <si>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</si>
  <si>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</si>
  <si>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</si>
  <si>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</si>
  <si>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</si>
  <si>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</si>
  <si>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</si>
  <si>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</si>
  <si>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</si>
  <si>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</si>
  <si>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</si>
  <si>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</si>
  <si>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</si>
  <si>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</si>
  <si>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</si>
  <si>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</si>
  <si>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</si>
  <si>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</si>
  <si>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</si>
  <si>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</si>
  <si>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</si>
  <si>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</si>
  <si>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</si>
  <si>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</si>
  <si>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</si>
  <si>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</si>
  <si>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</si>
  <si>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</si>
  <si>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</si>
  <si>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</si>
  <si>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</si>
  <si>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</si>
  <si>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</si>
  <si>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</si>
  <si>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</si>
  <si>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</si>
  <si>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</si>
  <si>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</si>
  <si>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</si>
  <si>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</si>
  <si>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</si>
  <si>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</si>
  <si>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</si>
  <si>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</si>
  <si>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</si>
  <si>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</si>
  <si>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</si>
  <si>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</si>
  <si>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</si>
  <si>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</si>
  <si>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</si>
  <si>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</si>
  <si>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</si>
  <si>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</si>
  <si>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</si>
  <si>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</si>
  <si>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</si>
  <si>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</si>
  <si>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</si>
  <si>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</si>
  <si>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</si>
  <si>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</si>
  <si>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</si>
  <si>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</si>
  <si>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</si>
  <si>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</si>
  <si>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</si>
  <si>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</si>
  <si>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</si>
  <si>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</si>
  <si>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</si>
  <si>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</si>
  <si>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</si>
  <si>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</si>
  <si>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</si>
  <si>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</si>
  <si>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</si>
  <si>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</si>
  <si>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</si>
  <si>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</si>
  <si>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</si>
  <si>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</si>
  <si>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</si>
  <si>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</si>
  <si>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</si>
  <si>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</si>
  <si>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</si>
  <si>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</si>
  <si>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</si>
  <si>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</si>
  <si>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</si>
  <si>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</si>
  <si>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</si>
  <si>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</si>
  <si>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</si>
  <si>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</si>
  <si>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</si>
  <si>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</si>
  <si>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</si>
  <si>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</si>
  <si>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</si>
  <si>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</si>
  <si>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</si>
  <si>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</si>
  <si>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</si>
  <si>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</si>
  <si>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</si>
  <si>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</si>
  <si>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</si>
  <si>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</si>
  <si>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</si>
  <si>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</si>
  <si>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</si>
  <si>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</si>
  <si>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</si>
  <si>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</si>
  <si>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</si>
  <si>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</si>
  <si>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</si>
  <si>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</si>
  <si>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</si>
  <si>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</si>
  <si>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</si>
  <si>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</si>
  <si>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</si>
  <si>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</si>
  <si>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</si>
  <si>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</si>
  <si>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</si>
  <si>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</si>
  <si>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</si>
  <si>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</si>
  <si>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</si>
  <si>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</si>
  <si>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</si>
  <si>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</si>
  <si>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</si>
  <si>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</si>
  <si>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</si>
  <si>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</si>
  <si>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</si>
  <si>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</si>
  <si>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</si>
  <si>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</si>
  <si>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</si>
  <si>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</si>
  <si>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</si>
  <si>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</si>
  <si>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</si>
  <si>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</si>
  <si>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</si>
  <si>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</si>
  <si>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</si>
  <si>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</si>
  <si>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</si>
  <si>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</si>
  <si>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</si>
  <si>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</si>
  <si>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</si>
  <si>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</si>
  <si>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</si>
  <si>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</si>
  <si>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</si>
  <si>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</si>
  <si>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</si>
  <si>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</si>
  <si>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</si>
  <si>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</si>
  <si>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</si>
  <si>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</si>
  <si>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</si>
  <si>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</si>
  <si>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</si>
  <si>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</si>
  <si>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</si>
  <si>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</si>
  <si>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</si>
  <si>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</si>
  <si>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</si>
  <si>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</si>
  <si>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</si>
  <si>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</si>
  <si>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</si>
  <si>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</si>
  <si>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</si>
  <si>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</si>
  <si>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</si>
  <si>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</si>
  <si>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</si>
  <si>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</si>
  <si>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</si>
  <si>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</si>
  <si>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</si>
  <si>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</si>
  <si>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</si>
  <si>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</si>
  <si>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</si>
  <si>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</si>
  <si>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</si>
  <si>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</si>
  <si>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</si>
  <si>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</si>
  <si>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</si>
  <si>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</si>
  <si>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</si>
  <si>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</si>
  <si>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</si>
  <si>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</si>
  <si>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</si>
  <si>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</si>
  <si>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</si>
  <si>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</si>
  <si>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</si>
  <si>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</si>
  <si>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</si>
  <si>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</si>
  <si>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</si>
  <si>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</si>
  <si>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</si>
  <si>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</si>
  <si>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</si>
  <si>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</si>
  <si>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</si>
  <si>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</si>
  <si>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</si>
  <si>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</si>
  <si>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</si>
  <si>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</si>
  <si>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</si>
  <si>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</si>
  <si>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</si>
  <si>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</si>
  <si>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</si>
  <si>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</si>
  <si>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</si>
  <si>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</si>
  <si>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</si>
  <si>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</si>
  <si>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</si>
  <si>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</si>
  <si>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</si>
  <si>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</si>
  <si>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</si>
  <si>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</si>
  <si>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</si>
  <si>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</si>
  <si>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</si>
  <si>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</si>
  <si>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</si>
  <si>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</si>
  <si>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</si>
  <si>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</si>
  <si>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</si>
  <si>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</si>
  <si>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</si>
  <si>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</si>
  <si>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</si>
  <si>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</si>
  <si>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</si>
  <si>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</si>
  <si>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</si>
  <si>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</si>
  <si>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</si>
  <si>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</si>
  <si>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</si>
  <si>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</si>
  <si>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</si>
  <si>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</si>
  <si>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</si>
  <si>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</si>
  <si>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</si>
  <si>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</si>
  <si>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</si>
  <si>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</si>
  <si>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</si>
  <si>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</si>
  <si>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</si>
  <si>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</si>
  <si>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</si>
  <si>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</si>
  <si>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</si>
  <si>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</si>
  <si>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</si>
  <si>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</si>
  <si>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</si>
  <si>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</si>
  <si>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</si>
  <si>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</si>
  <si>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</si>
  <si>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</si>
  <si>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</si>
  <si>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</si>
  <si>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</si>
  <si>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</si>
  <si>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</si>
  <si>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</si>
  <si>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</si>
  <si>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</si>
  <si>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</si>
  <si>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</si>
  <si>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</si>
  <si>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</si>
  <si>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</si>
  <si>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</si>
  <si>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</si>
  <si>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</si>
  <si>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</si>
  <si>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</si>
  <si>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</si>
  <si>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</si>
  <si>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</si>
  <si>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</si>
  <si>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</si>
  <si>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</si>
  <si>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</si>
  <si>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</si>
  <si>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</si>
  <si>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</si>
  <si>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</si>
  <si>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</si>
  <si>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</si>
  <si>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</si>
  <si>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</si>
  <si>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</si>
  <si>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</si>
  <si>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</si>
  <si>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</si>
  <si>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</si>
  <si>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</si>
  <si>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</si>
  <si>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</si>
  <si>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</si>
  <si>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</si>
  <si>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</si>
  <si>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</si>
  <si>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</si>
  <si>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</si>
  <si>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</si>
  <si>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</si>
  <si>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</si>
  <si>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</si>
  <si>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</si>
  <si>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</si>
  <si>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</si>
  <si>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</si>
  <si>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</si>
  <si>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</si>
  <si>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</si>
  <si>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</si>
  <si>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</si>
  <si>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</si>
  <si>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</si>
  <si>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</si>
  <si>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</si>
  <si>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</si>
  <si>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</si>
  <si>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</si>
  <si>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</si>
  <si>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</si>
  <si>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</si>
  <si>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</si>
  <si>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</si>
  <si>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</si>
  <si>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</si>
  <si>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</si>
  <si>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</si>
  <si>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</si>
  <si>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</si>
  <si>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</si>
  <si>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</si>
  <si>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</si>
  <si>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</si>
  <si>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</si>
  <si>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</si>
  <si>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</si>
  <si>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</si>
  <si>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</si>
  <si>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</si>
  <si>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</si>
  <si>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</si>
  <si>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</si>
  <si>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</si>
  <si>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</si>
  <si>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</si>
  <si>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</si>
  <si>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</si>
  <si>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</si>
  <si>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</si>
  <si>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</si>
  <si>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</si>
  <si>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</si>
  <si>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</si>
  <si>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</si>
  <si>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</si>
  <si>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</si>
  <si>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</si>
  <si>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</si>
  <si>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</si>
  <si>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</si>
  <si>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</si>
  <si>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</si>
  <si>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</si>
  <si>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</si>
  <si>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</si>
  <si>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</si>
  <si>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</si>
  <si>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</si>
  <si>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</si>
  <si>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</si>
  <si>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</si>
  <si>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</si>
  <si>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</si>
  <si>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</si>
  <si>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</si>
  <si>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</si>
  <si>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</si>
  <si>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</si>
  <si>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</si>
  <si>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</si>
  <si>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</si>
  <si>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</si>
  <si>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</si>
  <si>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</si>
  <si>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</si>
  <si>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</si>
  <si>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</si>
  <si>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</si>
  <si>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</si>
  <si>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</si>
  <si>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</si>
  <si>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</si>
  <si>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</si>
  <si>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</si>
  <si>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</si>
  <si>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</si>
  <si>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</si>
  <si>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</si>
  <si>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</si>
  <si>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</si>
  <si>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</si>
  <si>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</si>
  <si>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</si>
  <si>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</si>
  <si>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</si>
  <si>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</si>
  <si>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</si>
  <si>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</si>
  <si>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</si>
  <si>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</si>
  <si>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</si>
  <si>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</si>
  <si>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</si>
  <si>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</si>
  <si>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</si>
  <si>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</si>
  <si>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</si>
  <si>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</si>
  <si>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</si>
  <si>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</si>
  <si>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</si>
  <si>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</si>
  <si>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</si>
  <si>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</si>
  <si>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</si>
  <si>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</si>
  <si>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</si>
  <si>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</si>
  <si>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</si>
  <si>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</si>
  <si>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</si>
  <si>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</si>
  <si>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</si>
  <si>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</si>
  <si>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</si>
  <si>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</si>
  <si>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</si>
  <si>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</si>
  <si>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</si>
  <si>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</si>
  <si>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</si>
  <si>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</si>
  <si>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</si>
  <si>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</si>
  <si>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</si>
  <si>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</si>
  <si>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</si>
  <si>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</si>
  <si>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</si>
  <si>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</si>
  <si>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</si>
  <si>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</si>
  <si>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</si>
  <si>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</si>
  <si>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</si>
  <si>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</si>
  <si>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</si>
  <si>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</si>
  <si>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</si>
  <si>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</si>
  <si>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</si>
  <si>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</si>
  <si>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</si>
  <si>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</si>
  <si>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</si>
  <si>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</si>
  <si>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</si>
  <si>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</si>
  <si>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</si>
  <si>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</si>
  <si>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</si>
  <si>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</si>
  <si>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</si>
  <si>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</si>
  <si>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</si>
  <si>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</si>
  <si>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</si>
  <si>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</si>
  <si>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</si>
  <si>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</si>
  <si>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</si>
  <si>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</si>
  <si>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</si>
  <si>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</si>
  <si>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</si>
  <si>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</si>
  <si>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</si>
  <si>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</si>
  <si>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</si>
  <si>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</si>
  <si>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</si>
  <si>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</si>
  <si>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</si>
  <si>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</si>
  <si>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</si>
  <si>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</si>
  <si>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</si>
  <si>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</si>
  <si>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</si>
  <si>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</si>
  <si>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</si>
  <si>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</si>
  <si>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</si>
  <si>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</si>
  <si>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</si>
  <si>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</si>
  <si>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</si>
  <si>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</si>
  <si>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</si>
  <si>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</si>
  <si>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</si>
  <si>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</si>
  <si>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</si>
  <si>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</si>
  <si>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</si>
  <si>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</si>
  <si>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</si>
  <si>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</si>
  <si>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</si>
  <si>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</si>
  <si>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</si>
  <si>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</si>
  <si>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</si>
  <si>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</si>
  <si>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</si>
  <si>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</si>
  <si>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</si>
  <si>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</si>
  <si>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</si>
  <si>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</si>
  <si>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</si>
  <si>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</si>
  <si>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</si>
  <si>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</si>
  <si>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</si>
  <si>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</si>
  <si>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</si>
  <si>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</si>
  <si>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</si>
  <si>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</si>
  <si>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</si>
  <si>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</si>
  <si>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</si>
  <si>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</si>
  <si>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</si>
  <si>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</si>
  <si>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</si>
  <si>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</si>
  <si>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</si>
  <si>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</si>
  <si>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</si>
  <si>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</si>
  <si>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</si>
  <si>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</si>
  <si>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</si>
  <si>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</si>
  <si>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</si>
  <si>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</si>
  <si>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</si>
  <si>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</si>
  <si>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</si>
  <si>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</si>
  <si>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</si>
  <si>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</si>
  <si>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</si>
  <si>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</si>
  <si>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</si>
  <si>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</si>
  <si>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</si>
  <si>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</si>
  <si>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</si>
  <si>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</si>
  <si>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</si>
  <si>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</si>
  <si>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</si>
  <si>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</si>
  <si>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</si>
  <si>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</si>
  <si>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</si>
  <si>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</si>
  <si>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</si>
  <si>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</si>
  <si>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</si>
  <si>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</si>
  <si>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</si>
  <si>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</si>
  <si>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</si>
  <si>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</si>
  <si>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</si>
  <si>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</si>
  <si>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</si>
  <si>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</si>
  <si>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</si>
  <si>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</si>
  <si>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</si>
  <si>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</si>
  <si>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</si>
  <si>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</si>
  <si>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</si>
  <si>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</si>
  <si>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</si>
  <si>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</si>
  <si>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</si>
  <si>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</si>
  <si>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</si>
  <si>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</si>
  <si>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</si>
  <si>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</si>
  <si>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</si>
  <si>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</si>
  <si>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</si>
  <si>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</si>
  <si>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</si>
  <si>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</si>
  <si>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</si>
  <si>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</si>
  <si>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</si>
  <si>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</si>
  <si>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</si>
  <si>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</si>
  <si>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</si>
  <si>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</si>
  <si>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</si>
  <si>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</si>
  <si>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</si>
  <si>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</si>
  <si>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</si>
  <si>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</si>
  <si>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</si>
  <si>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</si>
  <si>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</si>
  <si>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</si>
  <si>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</si>
  <si>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</si>
  <si>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</si>
  <si>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</si>
  <si>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</si>
  <si>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</si>
  <si>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</si>
  <si>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</si>
  <si>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</si>
  <si>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</si>
  <si>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</si>
  <si>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</si>
  <si>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</si>
  <si>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</si>
  <si>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</si>
  <si>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</si>
  <si>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</si>
  <si>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</si>
  <si>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</si>
  <si>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</si>
  <si>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</si>
  <si>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</si>
  <si>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</si>
  <si>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</si>
  <si>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</si>
  <si>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</si>
  <si>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</si>
  <si>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</si>
  <si>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</si>
  <si>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</si>
  <si>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</si>
  <si>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</si>
  <si>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</si>
  <si>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</si>
  <si>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</si>
  <si>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</si>
  <si>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</si>
  <si>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</si>
  <si>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</si>
  <si>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</si>
  <si>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</si>
  <si>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</si>
  <si>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</si>
  <si>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</si>
  <si>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</si>
  <si>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</si>
  <si>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</si>
  <si>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</si>
  <si>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</si>
  <si>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</si>
  <si>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</si>
  <si>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</si>
  <si>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</si>
  <si>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</si>
  <si>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</si>
  <si>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</si>
  <si>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</si>
  <si>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</si>
  <si>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</si>
  <si>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</si>
  <si>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</si>
  <si>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</si>
  <si>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</si>
  <si>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</si>
  <si>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</si>
  <si>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</si>
  <si>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</si>
  <si>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</si>
  <si>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</si>
  <si>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</si>
  <si>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</si>
  <si>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</si>
  <si>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</si>
  <si>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</si>
  <si>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</si>
  <si>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</si>
  <si>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</si>
  <si>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</si>
  <si>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</si>
  <si>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</si>
  <si>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</si>
  <si>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</si>
  <si>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</si>
  <si>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</si>
  <si>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</si>
  <si>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</si>
  <si>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</si>
  <si>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</si>
  <si>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</si>
  <si>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</si>
  <si>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</si>
  <si>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</si>
  <si>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</si>
  <si>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</si>
  <si>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</si>
  <si>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</si>
  <si>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</si>
  <si>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</si>
  <si>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</si>
  <si>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</si>
  <si>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</si>
  <si>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</si>
  <si>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</si>
  <si>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</si>
  <si>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</si>
  <si>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</si>
  <si>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</si>
  <si>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</si>
  <si>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</si>
  <si>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</si>
  <si>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</si>
  <si>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</si>
  <si>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</si>
  <si>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</si>
  <si>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</si>
  <si>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</si>
  <si>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</si>
  <si>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</si>
  <si>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</si>
  <si>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</si>
  <si>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</si>
  <si>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</si>
  <si>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</si>
  <si>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</si>
  <si>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</si>
  <si>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</si>
  <si>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</si>
  <si>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</si>
  <si>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</si>
  <si>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</si>
  <si>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</si>
  <si>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</si>
  <si>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</si>
  <si>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</si>
  <si>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</si>
  <si>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</si>
  <si>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</si>
  <si>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</si>
  <si>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</si>
  <si>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</si>
  <si>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</si>
  <si>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</si>
  <si>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</si>
  <si>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</si>
  <si>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</si>
  <si>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</si>
  <si>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</si>
  <si>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</si>
  <si>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</si>
  <si>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</si>
  <si>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</si>
  <si>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</si>
  <si>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</si>
  <si>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</si>
  <si>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</si>
  <si>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</si>
  <si>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</si>
  <si>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</si>
  <si>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</si>
  <si>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</si>
  <si>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</si>
  <si>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</si>
  <si>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</si>
  <si>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</si>
  <si>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</si>
  <si>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</si>
  <si>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</si>
  <si>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</si>
  <si>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</si>
  <si>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</si>
  <si>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</si>
  <si>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</si>
  <si>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</si>
  <si>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</si>
  <si>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</si>
  <si>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</si>
  <si>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</si>
  <si>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</si>
  <si>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</si>
  <si>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</si>
  <si>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</si>
  <si>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</si>
  <si>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</si>
  <si>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</si>
  <si>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</si>
  <si>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</si>
  <si>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</si>
  <si>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</si>
  <si>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</si>
  <si>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</si>
  <si>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</si>
  <si>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</si>
  <si>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</si>
  <si>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</si>
  <si>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</si>
  <si>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</si>
  <si>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</si>
  <si>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</si>
  <si>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</si>
  <si>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</si>
  <si>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</si>
  <si>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</si>
  <si>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</si>
  <si>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</si>
  <si>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</si>
  <si>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</si>
  <si>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</si>
  <si>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</si>
  <si>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</si>
  <si>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</si>
  <si>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</si>
  <si>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</si>
  <si>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</si>
  <si>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</si>
  <si>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</si>
  <si>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</si>
  <si>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</si>
  <si>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</si>
  <si>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</si>
  <si>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</si>
  <si>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</si>
  <si>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</si>
  <si>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</si>
  <si>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</si>
  <si>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</si>
  <si>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</si>
  <si>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</si>
  <si>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</si>
  <si>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</si>
  <si>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</si>
  <si>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</si>
  <si>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</si>
  <si>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</si>
  <si>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</si>
  <si>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</si>
  <si>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</si>
  <si>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</si>
  <si>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</si>
  <si>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</si>
  <si>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</si>
  <si>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</si>
  <si>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</si>
  <si>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</si>
  <si>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</si>
  <si>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</si>
  <si>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</si>
  <si>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</si>
  <si>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</si>
  <si>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</si>
  <si>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</si>
  <si>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</si>
  <si>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</si>
  <si>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</si>
  <si>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</si>
  <si>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</si>
  <si>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</si>
  <si>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</si>
  <si>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</si>
  <si>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</si>
  <si>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</si>
  <si>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</si>
  <si>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</si>
  <si>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</si>
  <si>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</si>
  <si>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</si>
  <si>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</si>
  <si>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</si>
  <si>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</si>
  <si>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</si>
  <si>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</si>
  <si>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</si>
  <si>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</si>
  <si>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</si>
  <si>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</si>
  <si>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</si>
  <si>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</si>
  <si>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</si>
  <si>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</si>
  <si>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</si>
  <si>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</si>
  <si>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</si>
  <si>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</si>
  <si>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</si>
  <si>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</si>
  <si>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</si>
  <si>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</si>
  <si>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</si>
  <si>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</si>
  <si>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</si>
  <si>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</si>
  <si>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</si>
  <si>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</si>
  <si>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</si>
  <si>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</si>
  <si>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</si>
  <si>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</si>
  <si>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</si>
  <si>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</si>
  <si>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</si>
  <si>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</si>
  <si>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</si>
  <si>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</si>
  <si>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</si>
  <si>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</si>
  <si>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</si>
  <si>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</si>
  <si>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</si>
  <si>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</si>
  <si>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</si>
  <si>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</si>
  <si>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</si>
  <si>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</si>
  <si>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</si>
  <si>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</si>
  <si>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</si>
  <si>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</si>
  <si>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</si>
  <si>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</si>
  <si>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</si>
  <si>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</si>
  <si>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</si>
  <si>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</si>
  <si>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</si>
  <si>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</si>
  <si>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</si>
  <si>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</si>
  <si>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</si>
  <si>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</si>
  <si>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</si>
  <si>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</si>
  <si>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</si>
  <si>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</si>
  <si>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</si>
  <si>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</si>
  <si>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</si>
  <si>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</si>
  <si>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</si>
  <si>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</si>
  <si>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</si>
  <si>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</si>
  <si>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</si>
  <si>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</si>
  <si>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</si>
  <si>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</si>
  <si>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</si>
  <si>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</si>
  <si>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</si>
  <si>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</si>
  <si>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</si>
  <si>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</si>
  <si>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</si>
  <si>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</si>
  <si>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</si>
  <si>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</si>
  <si>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</si>
  <si>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</si>
  <si>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</si>
  <si>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</si>
  <si>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</si>
  <si>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</si>
  <si>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</si>
  <si>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</si>
  <si>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</si>
  <si>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</si>
  <si>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</si>
  <si>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</si>
  <si>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</si>
  <si>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</si>
  <si>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</si>
  <si>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</si>
  <si>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</si>
  <si>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</si>
  <si>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</si>
  <si>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</si>
  <si>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</si>
  <si>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</si>
  <si>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</si>
  <si>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</si>
  <si>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</si>
  <si>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</si>
  <si>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</si>
  <si>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</si>
  <si>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</si>
  <si>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</si>
  <si>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</si>
  <si>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</si>
  <si>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</si>
  <si>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</si>
  <si>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</si>
  <si>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</si>
  <si>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</si>
  <si>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</si>
  <si>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</si>
  <si>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</si>
  <si>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</si>
  <si>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</si>
  <si>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</si>
  <si>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</si>
  <si>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</si>
  <si>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</si>
  <si>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</si>
  <si>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</si>
  <si>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</si>
  <si>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</si>
  <si>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</si>
  <si>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</si>
  <si>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</si>
  <si>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</si>
  <si>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</si>
  <si>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</si>
  <si>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</si>
  <si>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</si>
  <si>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</si>
  <si>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</si>
  <si>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</si>
  <si>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</si>
  <si>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</si>
  <si>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</si>
  <si>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</si>
  <si>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</si>
  <si>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</si>
  <si>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</si>
  <si>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</si>
  <si>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</si>
  <si>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</si>
  <si>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</si>
  <si>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</si>
  <si>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</si>
  <si>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</si>
  <si>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</si>
  <si>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</si>
  <si>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</si>
  <si>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</si>
  <si>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</si>
  <si>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</si>
  <si>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</si>
  <si>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</si>
  <si>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</si>
  <si>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</si>
  <si>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</si>
  <si>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</si>
  <si>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</si>
  <si>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</si>
  <si>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</si>
  <si>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</si>
  <si>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</si>
  <si>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</si>
  <si>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</si>
  <si>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</si>
  <si>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</si>
  <si>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</si>
  <si>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</si>
  <si>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</si>
  <si>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</si>
  <si>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</si>
  <si>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</si>
  <si>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</si>
  <si>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</si>
  <si>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</si>
  <si>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</si>
  <si>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</si>
  <si>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</si>
  <si>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</si>
  <si>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</si>
  <si>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</si>
  <si>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</si>
  <si>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</si>
  <si>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</si>
  <si>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</si>
  <si>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</si>
  <si>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</si>
  <si>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</si>
  <si>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</si>
  <si>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</si>
  <si>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</si>
  <si>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</si>
  <si>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</si>
  <si>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</si>
  <si>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</si>
  <si>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</si>
  <si>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</si>
  <si>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</si>
  <si>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</si>
  <si>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</si>
  <si>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</si>
  <si>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</si>
  <si>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</si>
  <si>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</si>
  <si>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</si>
  <si>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</si>
  <si>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</si>
  <si>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</si>
  <si>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</si>
  <si>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</si>
  <si>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</si>
  <si>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</si>
  <si>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</si>
  <si>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</si>
  <si>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</si>
  <si>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</si>
  <si>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</si>
  <si>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</si>
  <si>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</si>
  <si>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</si>
  <si>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</si>
  <si>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</si>
  <si>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</si>
  <si>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</si>
  <si>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</si>
  <si>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</si>
  <si>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</si>
  <si>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</si>
  <si>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</si>
  <si>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</si>
  <si>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</si>
  <si>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</si>
  <si>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</si>
  <si>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</si>
  <si>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</si>
  <si>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</si>
  <si>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</si>
  <si>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</si>
  <si>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</si>
  <si>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</si>
  <si>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</si>
  <si>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</si>
  <si>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</si>
  <si>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</si>
  <si>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</si>
  <si>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</si>
  <si>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</si>
  <si>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</si>
  <si>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</si>
  <si>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</si>
  <si>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</si>
  <si>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</si>
  <si>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</si>
  <si>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</si>
  <si>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</si>
  <si>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</si>
  <si>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</si>
  <si>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</si>
  <si>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</si>
  <si>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</si>
  <si>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</si>
  <si>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</si>
  <si>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</si>
  <si>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</si>
  <si>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</si>
  <si>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</si>
  <si>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</si>
  <si>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</si>
  <si>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</si>
  <si>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</si>
  <si>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</si>
  <si>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</si>
  <si>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</si>
  <si>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</si>
  <si>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</si>
  <si>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</si>
  <si>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</si>
  <si>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</si>
  <si>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</si>
  <si>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</si>
  <si>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</si>
  <si>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</si>
  <si>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</si>
  <si>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</si>
  <si>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</si>
  <si>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</si>
  <si>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</si>
  <si>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</si>
  <si>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</si>
  <si>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</si>
  <si>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</si>
  <si>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</si>
  <si>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</si>
  <si>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</si>
  <si>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</si>
  <si>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</si>
  <si>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</si>
  <si>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</si>
  <si>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</si>
  <si>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</si>
  <si>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</si>
  <si>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</si>
  <si>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</si>
  <si>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</si>
  <si>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</si>
  <si>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</si>
  <si>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</si>
  <si>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</si>
  <si>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</si>
  <si>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</si>
  <si>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</si>
  <si>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</si>
  <si>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</si>
  <si>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</si>
  <si>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</si>
  <si>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</si>
  <si>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</si>
  <si>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</si>
  <si>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</si>
  <si>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</si>
  <si>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</si>
  <si>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</si>
  <si>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</si>
  <si>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</si>
  <si>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</si>
  <si>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</si>
  <si>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</si>
  <si>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</si>
  <si>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</si>
  <si>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</si>
  <si>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</si>
  <si>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</si>
  <si>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</si>
  <si>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</si>
  <si>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</si>
  <si>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</si>
  <si>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</si>
  <si>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</si>
  <si>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</si>
  <si>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</si>
  <si>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</si>
  <si>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</si>
  <si>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</si>
  <si>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</si>
  <si>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</si>
  <si>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</si>
  <si>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</si>
  <si>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</si>
  <si>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</si>
  <si>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</si>
  <si>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</si>
  <si>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</si>
  <si>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</si>
  <si>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</si>
  <si>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</si>
  <si>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</si>
  <si>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</si>
  <si>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</si>
  <si>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</si>
  <si>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</si>
  <si>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</si>
  <si>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</si>
  <si>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</si>
  <si>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</si>
  <si>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</si>
  <si>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</si>
  <si>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</si>
  <si>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</si>
  <si>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</si>
  <si>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</si>
  <si>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</si>
  <si>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</si>
  <si>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</si>
  <si>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</si>
  <si>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</si>
  <si>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</si>
  <si>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</si>
  <si>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</si>
  <si>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</si>
  <si>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</si>
  <si>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</si>
  <si>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</si>
  <si>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</si>
  <si>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</si>
  <si>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</si>
  <si>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</si>
  <si>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</si>
  <si>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</si>
  <si>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</si>
  <si>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</si>
  <si>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</si>
  <si>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</si>
  <si>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</si>
  <si>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</si>
  <si>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</si>
  <si>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</si>
  <si>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</si>
  <si>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</si>
  <si>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</si>
  <si>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</si>
  <si>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</si>
  <si>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</si>
  <si>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</si>
  <si>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</si>
  <si>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</si>
  <si>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</si>
  <si>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</si>
  <si>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</si>
  <si>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</si>
  <si>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</si>
  <si>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</si>
  <si>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</si>
  <si>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</si>
  <si>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</si>
  <si>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</si>
  <si>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</si>
  <si>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</si>
  <si>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</si>
  <si>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</si>
  <si>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</si>
  <si>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</si>
  <si>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</si>
  <si>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</si>
  <si>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</si>
  <si>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</si>
  <si>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</si>
  <si>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</si>
  <si>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</si>
  <si>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</si>
  <si>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</si>
  <si>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</si>
  <si>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</si>
  <si>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</si>
  <si>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</si>
  <si>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</si>
  <si>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</si>
  <si>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</si>
  <si>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</si>
  <si>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</si>
  <si>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</si>
  <si>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</si>
  <si>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</si>
  <si>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</si>
  <si>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</si>
  <si>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</si>
  <si>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</si>
  <si>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</si>
  <si>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</si>
  <si>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</si>
  <si>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</si>
  <si>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</si>
  <si>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</si>
  <si>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</si>
  <si>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</si>
  <si>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</si>
  <si>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</si>
  <si>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</si>
  <si>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</si>
  <si>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</si>
  <si>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</si>
  <si>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</si>
  <si>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</si>
  <si>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</si>
  <si>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</si>
  <si>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</si>
  <si>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</si>
  <si>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</si>
  <si>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</si>
  <si>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</si>
  <si>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</si>
  <si>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</si>
  <si>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</si>
  <si>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</si>
  <si>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</si>
  <si>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</si>
  <si>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</si>
  <si>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</si>
  <si>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</si>
  <si>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</si>
  <si>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</si>
  <si>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</si>
  <si>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</si>
  <si>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</si>
  <si>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</si>
  <si>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</si>
  <si>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</si>
  <si>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</si>
  <si>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</si>
  <si>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</si>
  <si>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</si>
  <si>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</si>
  <si>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</si>
  <si>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</si>
  <si>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</si>
  <si>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</si>
  <si>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</si>
  <si>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</si>
  <si>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</si>
  <si>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</si>
  <si>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</si>
  <si>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</si>
  <si>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</si>
  <si>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</si>
  <si>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</si>
  <si>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</si>
  <si>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</si>
  <si>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</si>
  <si>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</si>
  <si>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</si>
  <si>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</si>
  <si>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</si>
  <si>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</si>
  <si>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</si>
  <si>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</si>
  <si>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</si>
  <si>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</si>
  <si>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</si>
  <si>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</si>
  <si>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</si>
  <si>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</si>
  <si>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</si>
  <si>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</si>
  <si>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</si>
  <si>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</si>
  <si>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</si>
  <si>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</si>
  <si>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</si>
  <si>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</si>
  <si>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</si>
  <si>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</si>
  <si>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</si>
  <si>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</si>
  <si>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</si>
  <si>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</si>
  <si>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</si>
  <si>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</si>
  <si>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</si>
  <si>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</si>
  <si>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</si>
  <si>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</si>
  <si>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</si>
  <si>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</si>
  <si>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</si>
  <si>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</si>
  <si>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</si>
  <si>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</si>
  <si>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</si>
  <si>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</si>
  <si>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</si>
  <si>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</si>
  <si>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</si>
  <si>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</si>
  <si>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</si>
  <si>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</si>
  <si>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</si>
  <si>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</si>
  <si>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</si>
  <si>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</si>
  <si>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</si>
  <si>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</si>
  <si>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</si>
  <si>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</si>
  <si>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</si>
  <si>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</si>
  <si>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</si>
  <si>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</si>
  <si>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</si>
  <si>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</si>
  <si>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</si>
  <si>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</si>
  <si>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</si>
  <si>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</si>
  <si>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</si>
  <si>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</si>
  <si>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</si>
  <si>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</si>
  <si>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</si>
  <si>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</si>
  <si>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</si>
  <si>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</si>
  <si>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</si>
  <si>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</si>
  <si>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</si>
  <si>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</si>
  <si>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</si>
  <si>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</si>
  <si>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</si>
  <si>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</si>
  <si>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</si>
  <si>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</si>
  <si>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</si>
  <si>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</si>
  <si>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</si>
  <si>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</si>
  <si>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</si>
  <si>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</si>
  <si>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</si>
  <si>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</si>
  <si>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</si>
  <si>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</si>
  <si>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</si>
  <si>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</si>
  <si>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</si>
  <si>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</si>
  <si>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</si>
  <si>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</si>
  <si>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</si>
  <si>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</si>
  <si>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</si>
  <si>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</si>
  <si>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</si>
  <si>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</si>
  <si>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</si>
  <si>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</si>
  <si>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</si>
  <si>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</si>
  <si>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</si>
  <si>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</si>
  <si>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</si>
  <si>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</si>
  <si>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</si>
  <si>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</si>
  <si>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</si>
  <si>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</si>
  <si>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</si>
  <si>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</si>
  <si>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</si>
  <si>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</si>
  <si>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</si>
  <si>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</si>
  <si>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</si>
  <si>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</si>
  <si>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</si>
  <si>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</si>
  <si>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</si>
  <si>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</si>
  <si>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</si>
  <si>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</si>
  <si>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</si>
  <si>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</si>
  <si>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</si>
  <si>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</si>
  <si>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</si>
  <si>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</si>
  <si>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</si>
  <si>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</si>
  <si>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</si>
  <si>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</si>
  <si>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</si>
  <si>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</si>
  <si>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</si>
  <si>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</si>
  <si>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</si>
  <si>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</si>
  <si>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</si>
  <si>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</si>
  <si>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</si>
  <si>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</si>
  <si>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</si>
  <si>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</si>
  <si>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</si>
  <si>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</si>
  <si>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</si>
  <si>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</si>
  <si>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</si>
  <si>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</si>
  <si>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</si>
  <si>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</si>
  <si>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</si>
  <si>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</si>
  <si>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</si>
  <si>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</si>
  <si>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</si>
  <si>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</si>
  <si>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</si>
  <si>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</si>
  <si>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</si>
  <si>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</si>
  <si>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</si>
  <si>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</si>
  <si>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</si>
  <si>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</si>
  <si>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</si>
  <si>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</si>
  <si>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</si>
  <si>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</si>
  <si>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</si>
  <si>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</si>
  <si>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</si>
  <si>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</si>
  <si>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</si>
  <si>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</si>
  <si>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</si>
  <si>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</si>
  <si>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</si>
  <si>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</si>
  <si>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</si>
  <si>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</si>
  <si>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</si>
  <si>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</si>
  <si>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</si>
  <si>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</si>
  <si>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</si>
  <si>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</si>
  <si>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</si>
  <si>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</si>
  <si>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</si>
  <si>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</si>
  <si>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</si>
  <si>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</si>
  <si>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</si>
  <si>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</si>
  <si>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</si>
  <si>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</si>
  <si>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</si>
  <si>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</si>
  <si>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</si>
  <si>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</si>
  <si>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</si>
  <si>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</si>
  <si>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</si>
  <si>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</si>
  <si>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</si>
  <si>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</si>
  <si>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</si>
  <si>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</si>
  <si>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</si>
  <si>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</si>
  <si>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</si>
  <si>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</si>
  <si>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</si>
  <si>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</si>
  <si>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</si>
  <si>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</si>
  <si>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</si>
  <si>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</si>
  <si>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</si>
  <si>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</si>
  <si>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</si>
  <si>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</si>
  <si>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</si>
  <si>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</si>
  <si>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</si>
  <si>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</si>
  <si>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</si>
  <si>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</si>
  <si>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</si>
  <si>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</si>
  <si>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</si>
  <si>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</si>
  <si>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</si>
  <si>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</si>
  <si>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</si>
  <si>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</si>
  <si>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</si>
  <si>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</si>
  <si>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</si>
  <si>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</si>
  <si>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</si>
  <si>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</si>
  <si>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</si>
  <si>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</si>
  <si>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</si>
  <si>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</si>
  <si>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</si>
  <si>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</si>
  <si>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</si>
  <si>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</si>
  <si>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</si>
  <si>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</si>
  <si>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</si>
  <si>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</si>
  <si>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</si>
  <si>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</si>
  <si>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</si>
  <si>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</si>
  <si>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</si>
  <si>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</si>
  <si>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</si>
  <si>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</si>
  <si>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</si>
  <si>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</si>
  <si>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</si>
  <si>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</si>
  <si>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</si>
  <si>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</si>
  <si>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</si>
  <si>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</si>
  <si>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</si>
  <si>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</si>
  <si>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</si>
  <si>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</si>
  <si>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</si>
  <si>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</si>
  <si>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</si>
  <si>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</si>
  <si>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</si>
  <si>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</si>
  <si>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</si>
  <si>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</si>
  <si>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</si>
  <si>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</si>
  <si>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</si>
  <si>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</si>
  <si>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</si>
  <si>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</si>
  <si>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</si>
  <si>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</si>
  <si>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</si>
  <si>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</si>
  <si>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</si>
  <si>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</si>
  <si>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</si>
  <si>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</si>
  <si>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</si>
  <si>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</si>
  <si>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</si>
  <si>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</si>
  <si>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</si>
  <si>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</si>
  <si>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</si>
  <si>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</si>
  <si>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</si>
  <si>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</si>
  <si>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</si>
  <si>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</si>
  <si>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</si>
  <si>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</si>
  <si>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</si>
  <si>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</si>
  <si>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</si>
  <si>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</si>
  <si>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</si>
  <si>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</si>
  <si>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</si>
  <si>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</si>
  <si>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</si>
  <si>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</si>
  <si>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</si>
  <si>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</si>
  <si>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</si>
  <si>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</si>
  <si>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</si>
  <si>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</si>
  <si>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</si>
  <si>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</si>
  <si>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</si>
  <si>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</si>
  <si>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</si>
  <si>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</si>
  <si>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</si>
  <si>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</si>
  <si>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</si>
  <si>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</si>
  <si>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</si>
  <si>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</si>
  <si>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</si>
  <si>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</si>
  <si>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</si>
  <si>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</si>
  <si>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</si>
  <si>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</si>
  <si>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</si>
  <si>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</si>
  <si>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</si>
  <si>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</si>
  <si>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</si>
  <si>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</si>
  <si>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</si>
  <si>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</si>
  <si>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</si>
  <si>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</si>
  <si>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</si>
  <si>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</si>
  <si>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</si>
  <si>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</si>
  <si>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</si>
  <si>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</si>
  <si>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</si>
  <si>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</si>
  <si>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</si>
  <si>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</si>
  <si>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</si>
  <si>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</si>
  <si>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</si>
  <si>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</si>
  <si>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</si>
  <si>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</si>
  <si>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</si>
  <si>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</si>
  <si>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</si>
  <si>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</si>
  <si>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</si>
  <si>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</si>
  <si>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</si>
  <si>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</si>
  <si>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</si>
  <si>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</si>
  <si>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</si>
  <si>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</si>
  <si>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</si>
  <si>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</si>
  <si>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</si>
  <si>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</si>
  <si>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</si>
  <si>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</si>
  <si>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</si>
  <si>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</si>
  <si>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</si>
  <si>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</si>
  <si>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</si>
  <si>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</si>
  <si>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</si>
  <si>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</si>
  <si>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</si>
  <si>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</si>
  <si>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</si>
  <si>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</si>
  <si>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</si>
  <si>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</si>
  <si>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</si>
  <si>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</si>
  <si>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</si>
  <si>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</si>
  <si>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</si>
  <si>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</si>
  <si>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</si>
  <si>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</si>
  <si>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</si>
  <si>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</si>
  <si>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</si>
  <si>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</si>
  <si>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</si>
  <si>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</si>
  <si>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</si>
  <si>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</si>
  <si>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</si>
  <si>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</si>
  <si>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</si>
  <si>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</si>
  <si>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</si>
  <si>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</si>
  <si>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</si>
  <si>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</si>
  <si>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</si>
  <si>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</si>
  <si>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</si>
  <si>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</si>
  <si>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</si>
  <si>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</si>
  <si>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</si>
  <si>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</si>
  <si>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</si>
  <si>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</si>
  <si>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</si>
  <si>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</si>
  <si>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</si>
  <si>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</si>
  <si>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</si>
  <si>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</si>
  <si>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</si>
  <si>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</si>
  <si>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</si>
  <si>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</si>
  <si>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</si>
  <si>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</si>
  <si>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</si>
  <si>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</si>
  <si>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</si>
  <si>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</si>
  <si>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</si>
  <si>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</si>
  <si>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</si>
  <si>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</si>
  <si>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</si>
  <si>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</si>
  <si>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</si>
  <si>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</si>
  <si>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</si>
  <si>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</si>
  <si>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</si>
  <si>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</si>
  <si>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</si>
  <si>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</si>
  <si>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</si>
  <si>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</si>
  <si>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</si>
  <si>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</si>
  <si>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</si>
  <si>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</si>
  <si>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</si>
  <si>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</si>
  <si>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</si>
  <si>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</si>
  <si>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</si>
  <si>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</si>
  <si>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</si>
  <si>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</si>
  <si>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</si>
  <si>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</si>
  <si>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</si>
  <si>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</si>
  <si>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</si>
  <si>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</si>
  <si>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</si>
  <si>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</si>
  <si>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</si>
  <si>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</si>
  <si>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</si>
  <si>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</si>
  <si>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</si>
  <si>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</si>
  <si>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</si>
  <si>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</si>
  <si>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</si>
  <si>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</si>
  <si>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</si>
  <si>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</si>
  <si>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</si>
  <si>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</si>
  <si>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</si>
  <si>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</si>
  <si>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</si>
  <si>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</si>
  <si>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</si>
  <si>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</si>
  <si>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</si>
  <si>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</si>
  <si>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</si>
  <si>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</si>
  <si>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</si>
  <si>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</si>
  <si>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</si>
  <si>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</si>
  <si>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</si>
  <si>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</si>
  <si>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</si>
  <si>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</si>
  <si>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</si>
  <si>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</si>
  <si>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</si>
  <si>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</si>
  <si>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</si>
  <si>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</si>
  <si>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</si>
  <si>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</si>
  <si>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</si>
  <si>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</si>
  <si>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</si>
  <si>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</si>
  <si>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</si>
  <si>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</si>
  <si>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</si>
  <si>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</si>
  <si>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</si>
  <si>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</si>
  <si>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</si>
  <si>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</si>
  <si>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</si>
  <si>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</si>
  <si>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</si>
  <si>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</si>
  <si>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</si>
  <si>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</si>
  <si>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</si>
  <si>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</si>
  <si>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</si>
  <si>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</si>
  <si>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</si>
  <si>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</si>
  <si>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</si>
  <si>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</si>
  <si>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</si>
  <si>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</si>
  <si>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</si>
  <si>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</si>
  <si>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</si>
  <si>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</si>
  <si>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</si>
  <si>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</si>
  <si>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</si>
  <si>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</si>
  <si>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</si>
  <si>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</si>
  <si>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</si>
  <si>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</si>
  <si>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</si>
  <si>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</si>
  <si>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</si>
  <si>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</si>
  <si>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</si>
  <si>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</si>
  <si>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</si>
  <si>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</si>
  <si>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</si>
  <si>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</si>
  <si>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</si>
  <si>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</si>
  <si>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</si>
  <si>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</si>
  <si>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</si>
  <si>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</si>
  <si>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</si>
  <si>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</si>
  <si>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</si>
  <si>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</si>
  <si>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</si>
  <si>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</si>
  <si>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</si>
  <si>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</si>
  <si>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</si>
  <si>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</si>
  <si>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</si>
  <si>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</si>
  <si>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</si>
  <si>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</si>
  <si>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</si>
  <si>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</si>
  <si>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</si>
  <si>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</si>
  <si>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</si>
  <si>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</si>
  <si>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</si>
  <si>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</si>
  <si>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</si>
  <si>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</si>
  <si>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</si>
  <si>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</si>
  <si>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</si>
  <si>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</si>
  <si>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</si>
  <si>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</si>
  <si>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</si>
  <si>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</si>
  <si>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</si>
  <si>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</si>
  <si>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</si>
  <si>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</si>
  <si>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</si>
  <si>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</si>
  <si>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</si>
  <si>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</si>
  <si>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</si>
  <si>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</si>
  <si>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</si>
  <si>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</si>
  <si>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</si>
  <si>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</si>
  <si>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</si>
  <si>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</si>
  <si>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</si>
  <si>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</si>
  <si>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</si>
  <si>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</si>
  <si>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</si>
  <si>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</si>
  <si>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</si>
  <si>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</si>
  <si>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</si>
  <si>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</si>
  <si>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</si>
  <si>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</si>
  <si>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</si>
  <si>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</si>
  <si>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</si>
  <si>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</si>
  <si>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</si>
  <si>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</si>
  <si>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</si>
  <si>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</si>
  <si>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</si>
  <si>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</si>
  <si>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</si>
  <si>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</si>
  <si>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</si>
  <si>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</si>
  <si>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</si>
  <si>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</si>
  <si>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</si>
  <si>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</si>
  <si>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</si>
  <si>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</si>
  <si>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</si>
  <si>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</si>
  <si>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</si>
  <si>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</si>
  <si>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</si>
  <si>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</si>
  <si>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</si>
  <si>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</si>
  <si>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</si>
  <si>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</si>
  <si>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</si>
  <si>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</si>
  <si>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</si>
  <si>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</si>
  <si>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</si>
  <si>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</si>
  <si>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</si>
  <si>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</si>
  <si>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</si>
  <si>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</si>
  <si>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</si>
  <si>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</si>
  <si>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</si>
  <si>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</si>
  <si>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</si>
  <si>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</si>
  <si>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</si>
  <si>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</si>
  <si>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</si>
  <si>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</si>
  <si>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</si>
  <si>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</si>
  <si>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</si>
  <si>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</si>
  <si>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</si>
  <si>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</si>
  <si>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</si>
  <si>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</si>
  <si>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</si>
  <si>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</si>
  <si>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</si>
  <si>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</si>
  <si>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</si>
  <si>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</si>
  <si>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</si>
  <si>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</si>
  <si>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</si>
  <si>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</si>
  <si>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</si>
  <si>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</si>
  <si>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</si>
  <si>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</si>
  <si>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</si>
  <si>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</si>
  <si>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</si>
  <si>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</si>
  <si>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</si>
  <si>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</si>
  <si>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</si>
  <si>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</si>
  <si>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</si>
  <si>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</si>
  <si>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</si>
  <si>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</si>
  <si>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</si>
  <si>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</si>
  <si>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</si>
  <si>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</si>
  <si>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</si>
  <si>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</si>
  <si>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</si>
  <si>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</si>
  <si>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</si>
  <si>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</si>
  <si>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</si>
  <si>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</si>
  <si>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</si>
  <si>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</si>
  <si>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</si>
  <si>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</si>
  <si>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</si>
  <si>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</si>
  <si>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</si>
  <si>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</si>
  <si>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</si>
  <si>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</si>
  <si>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</si>
  <si>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</si>
  <si>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</si>
  <si>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</si>
  <si>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</si>
  <si>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</si>
  <si>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</si>
  <si>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</si>
  <si>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</si>
  <si>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</si>
  <si>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</si>
  <si>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</si>
  <si>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</si>
  <si>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</si>
  <si>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</si>
  <si>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</si>
  <si>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</si>
  <si>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</si>
  <si>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</si>
  <si>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</si>
  <si>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</si>
  <si>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</si>
  <si>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</si>
  <si>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</si>
  <si>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</si>
  <si>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</si>
  <si>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</si>
  <si>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</si>
  <si>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</si>
  <si>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</si>
  <si>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</si>
  <si>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</si>
  <si>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</si>
  <si>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</si>
  <si>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</si>
  <si>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</si>
  <si>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</si>
  <si>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</si>
  <si>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</si>
  <si>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</si>
  <si>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</si>
  <si>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</si>
  <si>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</si>
  <si>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</si>
  <si>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</si>
  <si>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</si>
  <si>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</si>
  <si>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</si>
  <si>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</si>
  <si>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</si>
  <si>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</si>
  <si>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</si>
  <si>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</si>
  <si>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</si>
  <si>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</si>
  <si>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</si>
  <si>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</si>
  <si>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</si>
  <si>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</si>
  <si>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</si>
  <si>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</si>
  <si>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</si>
  <si>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</si>
  <si>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</si>
  <si>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</si>
  <si>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</si>
  <si>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</si>
  <si>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</si>
  <si>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</si>
  <si>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</si>
  <si>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</si>
  <si>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</si>
  <si>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</si>
  <si>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</si>
  <si>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</si>
  <si>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</si>
  <si>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</si>
  <si>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</si>
  <si>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</si>
  <si>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</si>
  <si>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</si>
  <si>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</si>
  <si>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</si>
  <si>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</si>
  <si>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</si>
  <si>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</si>
  <si>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</si>
  <si>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</si>
  <si>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</si>
  <si>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</si>
  <si>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</si>
  <si>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</si>
  <si>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</si>
  <si>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</si>
  <si>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</si>
  <si>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</si>
  <si>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</si>
  <si>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</si>
  <si>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</si>
  <si>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</si>
  <si>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</si>
  <si>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</si>
  <si>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</si>
  <si>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</si>
  <si>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</si>
  <si>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</si>
  <si>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</si>
  <si>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</si>
  <si>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</si>
  <si>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</si>
  <si>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</si>
  <si>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</si>
  <si>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</si>
  <si>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</si>
  <si>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</si>
  <si>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</si>
  <si>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</si>
  <si>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</si>
  <si>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</si>
  <si>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</si>
  <si>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</si>
  <si>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</si>
  <si>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</si>
  <si>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</si>
  <si>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</si>
  <si>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</si>
  <si>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</si>
  <si>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</si>
  <si>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</si>
  <si>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</si>
  <si>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</si>
  <si>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</si>
  <si>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</si>
  <si>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</si>
  <si>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</si>
  <si>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</si>
  <si>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</si>
  <si>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</si>
  <si>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</si>
  <si>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</si>
  <si>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</si>
  <si>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</si>
  <si>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</si>
  <si>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</si>
  <si>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</si>
  <si>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</si>
  <si>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</si>
  <si>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</si>
  <si>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</si>
  <si>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</si>
  <si>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</si>
  <si>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</si>
  <si>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</si>
  <si>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</si>
  <si>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</si>
  <si>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</si>
  <si>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</si>
  <si>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</si>
  <si>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</si>
  <si>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</si>
  <si>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</si>
  <si>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</si>
  <si>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</si>
  <si>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</si>
  <si>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</si>
  <si>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</si>
  <si>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</si>
  <si>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</si>
  <si>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</si>
  <si>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</si>
  <si>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</si>
  <si>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</si>
  <si>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</si>
  <si>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</si>
  <si>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</si>
  <si>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</si>
  <si>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</si>
  <si>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</si>
  <si>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</si>
  <si>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</si>
  <si>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</si>
  <si>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</si>
  <si>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</si>
  <si>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</si>
  <si>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</si>
  <si>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</si>
  <si>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</si>
  <si>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</si>
  <si>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</si>
  <si>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</si>
  <si>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</si>
  <si>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</si>
  <si>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</si>
  <si>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</si>
  <si>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</si>
  <si>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</si>
  <si>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</si>
  <si>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</si>
  <si>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</si>
  <si>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</si>
  <si>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</si>
  <si>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</si>
  <si>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</si>
  <si>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</si>
  <si>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</si>
  <si>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</si>
  <si>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</si>
  <si>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</si>
  <si>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</si>
  <si>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</si>
  <si>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</si>
  <si>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</si>
  <si>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</si>
  <si>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</si>
  <si>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</si>
  <si>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</si>
  <si>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</si>
  <si>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</si>
  <si>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</si>
  <si>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</si>
  <si>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</si>
  <si>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</si>
  <si>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</si>
  <si>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</si>
  <si>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</si>
  <si>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</si>
  <si>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</si>
  <si>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</si>
  <si>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</si>
  <si>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</si>
  <si>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</si>
  <si>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</si>
  <si>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</si>
  <si>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</si>
  <si>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</si>
  <si>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</si>
  <si>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</si>
  <si>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</si>
  <si>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</si>
  <si>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</si>
  <si>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</si>
  <si>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</si>
  <si>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</si>
  <si>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</si>
  <si>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</si>
  <si>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</si>
  <si>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</si>
  <si>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</si>
  <si>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</si>
  <si>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</si>
  <si>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</si>
  <si>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</si>
  <si>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</si>
  <si>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</si>
  <si>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</si>
  <si>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</si>
  <si>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</si>
  <si>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</si>
  <si>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</si>
  <si>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</si>
  <si>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</si>
  <si>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</si>
  <si>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</si>
  <si>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</si>
  <si>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</si>
  <si>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</si>
  <si>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</si>
  <si>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</si>
  <si>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</si>
  <si>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</si>
  <si>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</si>
  <si>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</si>
  <si>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</si>
  <si>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</si>
  <si>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</si>
  <si>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</si>
  <si>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</si>
  <si>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</si>
  <si>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</si>
  <si>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</si>
  <si>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</si>
  <si>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</si>
  <si>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</si>
  <si>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</si>
  <si>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</si>
  <si>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</si>
  <si>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</si>
  <si>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</si>
  <si>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</si>
  <si>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</si>
  <si>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</si>
  <si>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</si>
  <si>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</si>
  <si>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</si>
  <si>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</si>
  <si>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</si>
  <si>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</si>
  <si>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</si>
  <si>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</si>
  <si>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</si>
  <si>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</si>
  <si>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</si>
  <si>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</si>
  <si>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</si>
  <si>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</si>
  <si>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</si>
  <si>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</si>
  <si>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</si>
  <si>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</si>
  <si>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</si>
  <si>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</si>
  <si>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</si>
  <si>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</si>
  <si>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</si>
  <si>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</si>
  <si>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</si>
  <si>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</si>
  <si>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</si>
  <si>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</si>
  <si>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</si>
  <si>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</si>
  <si>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</si>
  <si>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</si>
  <si>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</si>
  <si>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</si>
  <si>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</si>
  <si>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</si>
  <si>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</si>
  <si>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</si>
  <si>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</si>
  <si>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</si>
  <si>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</si>
  <si>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</si>
  <si>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</si>
  <si>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</si>
  <si>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</si>
  <si>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</si>
  <si>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</si>
  <si>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</si>
  <si>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</si>
  <si>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</si>
  <si>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</si>
  <si>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</si>
  <si>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</si>
  <si>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</si>
  <si>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</si>
  <si>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</si>
  <si>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</si>
  <si>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</si>
  <si>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</si>
  <si>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</si>
  <si>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</si>
  <si>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</si>
  <si>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</si>
  <si>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</si>
  <si>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</si>
  <si>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</si>
  <si>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</si>
  <si>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</si>
  <si>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</si>
  <si>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</si>
  <si>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</si>
  <si>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</si>
  <si>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</si>
  <si>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</si>
  <si>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</si>
  <si>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</si>
  <si>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</si>
  <si>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</si>
  <si>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</si>
  <si>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</si>
  <si>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</si>
  <si>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</si>
  <si>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</si>
  <si>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</si>
  <si>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</si>
  <si>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</si>
  <si>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</si>
  <si>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</si>
  <si>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</si>
  <si>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</si>
  <si>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</si>
  <si>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</si>
  <si>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</si>
  <si>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</si>
  <si>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</si>
  <si>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</si>
  <si>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</si>
  <si>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</si>
  <si>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</si>
  <si>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</si>
  <si>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</si>
  <si>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</si>
  <si>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</si>
  <si>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</si>
  <si>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</si>
  <si>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</si>
  <si>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</si>
  <si>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</si>
  <si>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</si>
  <si>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</si>
  <si>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</si>
  <si>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</si>
  <si>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</si>
  <si>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</si>
  <si>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</si>
  <si>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</si>
  <si>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</si>
  <si>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</si>
  <si>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</si>
  <si>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</si>
  <si>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</si>
  <si>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</si>
  <si>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</si>
  <si>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</si>
  <si>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</si>
  <si>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</si>
  <si>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</si>
  <si>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</si>
  <si>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</si>
  <si>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</si>
  <si>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</si>
  <si>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</si>
  <si>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</si>
  <si>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</si>
  <si>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</si>
  <si>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</si>
  <si>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</si>
  <si>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</si>
  <si>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</si>
  <si>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</si>
  <si>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</si>
  <si>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</si>
  <si>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</si>
  <si>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</si>
  <si>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</si>
  <si>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</si>
  <si>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</si>
  <si>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</si>
  <si>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</si>
  <si>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</si>
  <si>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</si>
  <si>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</si>
  <si>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</si>
  <si>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</si>
  <si>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</si>
  <si>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</si>
  <si>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</si>
  <si>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</si>
  <si>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</si>
  <si>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</si>
  <si>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</si>
  <si>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</si>
  <si>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</si>
  <si>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</si>
  <si>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</si>
  <si>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</si>
  <si>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</si>
  <si>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</si>
  <si>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</si>
  <si>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</si>
  <si>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</si>
  <si>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</si>
  <si>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</si>
  <si>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</si>
  <si>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</si>
  <si>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</si>
  <si>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</si>
  <si>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</si>
  <si>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</si>
  <si>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</si>
  <si>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</si>
  <si>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</si>
  <si>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</si>
  <si>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</si>
  <si>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</si>
  <si>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</si>
  <si>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</si>
  <si>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</si>
  <si>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</si>
  <si>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</si>
  <si>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</si>
  <si>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</si>
  <si>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</si>
  <si>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</si>
  <si>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</si>
  <si>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</si>
  <si>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</si>
  <si>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</si>
  <si>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</si>
  <si>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</si>
  <si>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</si>
  <si>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</si>
  <si>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</si>
  <si>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</si>
  <si>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</si>
  <si>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</si>
  <si>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</si>
  <si>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</si>
  <si>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</si>
  <si>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</si>
  <si>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</si>
  <si>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</si>
  <si>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</si>
  <si>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</si>
  <si>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</si>
  <si>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</si>
  <si>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</si>
  <si>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</si>
  <si>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692</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</si>
  <si>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</si>
  <si>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</si>
  <si>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</si>
  <si>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</si>
  <si>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</si>
  <si>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</si>
  <si>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</si>
  <si>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</si>
  <si>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</si>
  <si>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</si>
  <si>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</si>
  <si>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174863 تا 224</t>
  </si>
  <si>
    <t>وغدیر 8184 تا 232.7</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</si>
  <si>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</si>
  <si>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</si>
  <si>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</si>
  <si>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</si>
  <si>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</si>
  <si>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</si>
  <si>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</si>
  <si>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</si>
  <si>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</si>
  <si>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</si>
  <si>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</si>
  <si>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</si>
  <si>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1674 تا 237.8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</si>
  <si>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</si>
  <si>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</si>
  <si>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</si>
  <si>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</si>
  <si>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</si>
  <si>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</si>
  <si>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</si>
  <si>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</si>
  <si>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</si>
  <si>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</si>
  <si>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</si>
  <si>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</si>
  <si>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شاراک 152 تا 708.2</t>
  </si>
  <si>
    <t>واریز 40000 تومن حساب علی و 40000 تومن حساب مریم</t>
  </si>
  <si>
    <t>جمع کل 219 تا آخر 1398</t>
  </si>
  <si>
    <t>9/5/1398</t>
  </si>
  <si>
    <t>طلب نقدی از مهدی</t>
  </si>
  <si>
    <t>غذا برای مریم 8/5/98</t>
  </si>
  <si>
    <t>19/5/1398</t>
  </si>
  <si>
    <t xml:space="preserve">اعتبار علی </t>
  </si>
  <si>
    <t>5/6/1398</t>
  </si>
  <si>
    <t>اولی 1/6/1398 و دومی 9/6/1398</t>
  </si>
  <si>
    <t>سود هر سهم 98</t>
  </si>
  <si>
    <t>سود هر سهم وغدیر 98</t>
  </si>
  <si>
    <t>سود هر سهم 99</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</si>
  <si>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</si>
  <si>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</si>
  <si>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</si>
  <si>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</si>
  <si>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</si>
  <si>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</si>
  <si>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</si>
  <si>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</si>
  <si>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</si>
  <si>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</si>
  <si>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</si>
  <si>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</si>
  <si>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</si>
  <si>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</si>
  <si>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وغدیر 2075 تا 241.2</t>
  </si>
  <si>
    <t>هجرت</t>
  </si>
  <si>
    <t>هجرت 113 تا 1850</t>
  </si>
  <si>
    <t>واریز 249000 علی و 250000 مریم</t>
  </si>
  <si>
    <t>20/5/1398</t>
  </si>
  <si>
    <t>بدهی به مهدی دستی</t>
  </si>
  <si>
    <t>اضافه خرج علی بابت تولد 18/5/1398</t>
  </si>
  <si>
    <t>23/6/1398</t>
  </si>
  <si>
    <t>22/5/1398</t>
  </si>
  <si>
    <t>سود ایجاد شده تا 23/5/1398</t>
  </si>
  <si>
    <t>https://tegrahost.com</t>
  </si>
  <si>
    <t>ali62n62@yahoo.com</t>
  </si>
  <si>
    <t>ali11980*</t>
  </si>
  <si>
    <t>usre: an3788-irnic</t>
  </si>
  <si>
    <t>zs1048-irnic</t>
  </si>
  <si>
    <t>soltanizabih1980@yahoo.com</t>
  </si>
  <si>
    <t>Ali11980</t>
  </si>
  <si>
    <t>26/5/1398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</si>
</sst>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10" borderId="1" xfId="0" applyFill="1" applyBorder="1"/>
    <xf numFmtId="0" fontId="0" fillId="25" borderId="1" xfId="0" applyFill="1" applyBorder="1" applyAlignment="1">
      <alignment horizontal="center"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G153" zoomScale="90" zoomScaleNormal="90" workbookViewId="0">
      <selection activeCell="Q173" sqref="Q173"/>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4873</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4873</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4873</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4966</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4966</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4966</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4966</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4966</v>
      </c>
      <c r="X51" s="213" t="s">
        <v>4531</v>
      </c>
      <c r="Y51" s="113">
        <v>4949</v>
      </c>
      <c r="Z51" s="213">
        <v>1000</v>
      </c>
      <c r="AA51" s="213" t="s">
        <v>4241</v>
      </c>
      <c r="AB51" s="213">
        <v>192</v>
      </c>
      <c r="AC51" s="213" t="s">
        <v>4970</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4973</v>
      </c>
      <c r="X52" s="213" t="s">
        <v>4531</v>
      </c>
      <c r="Y52" s="113">
        <v>4957.7</v>
      </c>
      <c r="Z52" s="213" t="s">
        <v>4970</v>
      </c>
      <c r="AA52" s="213" t="s">
        <v>4388</v>
      </c>
      <c r="AB52" s="213">
        <v>3589.3</v>
      </c>
      <c r="AC52" s="213" t="s">
        <v>4970</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4973</v>
      </c>
      <c r="X53" s="213" t="s">
        <v>4531</v>
      </c>
      <c r="Y53" s="113">
        <v>4958</v>
      </c>
      <c r="Z53" s="213" t="s">
        <v>4970</v>
      </c>
      <c r="AA53" s="213" t="s">
        <v>4392</v>
      </c>
      <c r="AB53" s="213">
        <v>4730.8999999999996</v>
      </c>
      <c r="AC53" s="213" t="s">
        <v>4970</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4973</v>
      </c>
      <c r="X54" s="213" t="s">
        <v>4531</v>
      </c>
      <c r="Y54" s="113">
        <v>4958</v>
      </c>
      <c r="Z54" s="213" t="s">
        <v>4970</v>
      </c>
      <c r="AA54" s="213" t="s">
        <v>4406</v>
      </c>
      <c r="AB54" s="213">
        <v>671.9</v>
      </c>
      <c r="AC54" s="213" t="s">
        <v>4970</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4973</v>
      </c>
      <c r="X55" s="213" t="s">
        <v>4531</v>
      </c>
      <c r="Y55" s="113">
        <v>4958</v>
      </c>
      <c r="Z55" s="213" t="s">
        <v>4970</v>
      </c>
      <c r="AA55" s="213" t="s">
        <v>4241</v>
      </c>
      <c r="AB55" s="213">
        <v>194.4</v>
      </c>
      <c r="AC55" s="213" t="s">
        <v>4970</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5062</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5066</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5074</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4873</v>
      </c>
      <c r="B59" s="95">
        <v>4700000</v>
      </c>
      <c r="C59" s="95">
        <v>4800000</v>
      </c>
      <c r="D59" s="95">
        <v>13300</v>
      </c>
      <c r="E59" s="95">
        <v>13450</v>
      </c>
      <c r="K59" s="168"/>
      <c r="L59" s="168"/>
      <c r="M59" s="168"/>
      <c r="N59" s="168"/>
      <c r="O59" s="168"/>
      <c r="W59" s="213" t="s">
        <v>5111</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4883</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4901</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5000</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5059</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5114</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c r="B67" s="95"/>
      <c r="C67" s="95"/>
      <c r="D67" s="95"/>
      <c r="E67" s="95"/>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5070</v>
      </c>
      <c r="AD68" s="99" t="s">
        <v>5075</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5062</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5066</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5074</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5078</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5128</v>
      </c>
      <c r="Y76" s="99">
        <v>11000</v>
      </c>
      <c r="Z76" s="99">
        <v>742</v>
      </c>
      <c r="AA76" s="99">
        <v>240.4</v>
      </c>
      <c r="AB76" s="20">
        <f>Z76/AA76</f>
        <v>3.0865224625623959</v>
      </c>
      <c r="AC76" s="99">
        <f>AB76/$X$75</f>
        <v>0.98573086711186175</v>
      </c>
      <c r="AD76" s="99" t="s">
        <v>25</v>
      </c>
      <c r="AE76" s="99">
        <v>33357</v>
      </c>
      <c r="AF76">
        <f>AE76/Y76</f>
        <v>3.0324545454545455</v>
      </c>
    </row>
    <row r="77" spans="1:32">
      <c r="D77" s="114">
        <f>B65-B28+L19</f>
        <v>4831628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5147</v>
      </c>
      <c r="Y77" s="99">
        <v>64000</v>
      </c>
      <c r="Z77" s="99">
        <v>752.1</v>
      </c>
      <c r="AA77" s="99">
        <v>241.4</v>
      </c>
      <c r="AB77" s="20">
        <f>Z77/AA77</f>
        <v>3.1155758077879039</v>
      </c>
      <c r="AC77" s="99">
        <f>AB77/$X$75</f>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Z78/AA78</f>
        <v>3.1312026913372581</v>
      </c>
      <c r="AC78" s="99">
        <f>AB78/$X$75</f>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c r="Z79" s="99">
        <v>709</v>
      </c>
      <c r="AA79" s="99">
        <v>238</v>
      </c>
      <c r="AB79" s="99">
        <f>Z79/AA79</f>
        <v>2.9789915966386555</v>
      </c>
      <c r="AC79" s="99">
        <f>AB79/$X$75</f>
        <v>0.95138914596971247</v>
      </c>
      <c r="AD79" s="99" t="s">
        <v>25</v>
      </c>
      <c r="AE79" s="99"/>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c r="Z80" s="99"/>
      <c r="AA80" s="99"/>
      <c r="AB80" s="99"/>
      <c r="AC80" s="99"/>
      <c r="AD80" s="99"/>
      <c r="AE80" s="99"/>
    </row>
    <row r="81" spans="6:30">
      <c r="I81" s="213"/>
      <c r="J81" s="113">
        <f t="shared" si="14"/>
        <v>6117877</v>
      </c>
      <c r="K81" s="213" t="s">
        <v>4824</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AA82" s="96"/>
      <c r="AB82" s="96">
        <f>X75/AB79</f>
        <v>1.0510946064880113</v>
      </c>
      <c r="AC82" s="96" t="s">
        <v>25</v>
      </c>
      <c r="AD82" s="96"/>
    </row>
    <row r="83" spans="6:30"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980</v>
      </c>
      <c r="L85" s="84">
        <v>676129976</v>
      </c>
      <c r="M85" s="84">
        <v>302822379</v>
      </c>
      <c r="N85" s="113">
        <f t="shared" si="15"/>
        <v>978952355</v>
      </c>
      <c r="O85" s="113">
        <f t="shared" si="16"/>
        <v>-741512</v>
      </c>
      <c r="P85" s="113">
        <f t="shared" si="17"/>
        <v>8736595</v>
      </c>
      <c r="Q85" s="84">
        <v>0</v>
      </c>
      <c r="X85" s="96"/>
      <c r="Y85" s="96"/>
      <c r="Z85" s="96" t="s">
        <v>4642</v>
      </c>
      <c r="AA85" s="96"/>
      <c r="AB85" s="96"/>
      <c r="AC85" s="96"/>
      <c r="AD85" s="96"/>
    </row>
    <row r="86" spans="6:30">
      <c r="I86" s="213"/>
      <c r="J86" s="113">
        <f t="shared" si="14"/>
        <v>-8249999</v>
      </c>
      <c r="K86" s="213" t="s">
        <v>4852</v>
      </c>
      <c r="L86" s="84">
        <v>667879977</v>
      </c>
      <c r="M86" s="84">
        <v>298414541</v>
      </c>
      <c r="N86" s="113">
        <f t="shared" si="15"/>
        <v>966294518</v>
      </c>
      <c r="O86" s="113">
        <f t="shared" si="16"/>
        <v>-4407838</v>
      </c>
      <c r="P86" s="113">
        <f t="shared" si="17"/>
        <v>-12657837</v>
      </c>
      <c r="Q86" s="84">
        <v>0</v>
      </c>
      <c r="X86" s="96"/>
      <c r="Y86" s="96"/>
      <c r="Z86" s="96" t="s">
        <v>4643</v>
      </c>
      <c r="AA86" s="207">
        <v>35441</v>
      </c>
      <c r="AB86" s="96"/>
      <c r="AC86" s="96"/>
      <c r="AD86" s="96"/>
    </row>
    <row r="87" spans="6:30" ht="90">
      <c r="I87" s="240" t="s">
        <v>4863</v>
      </c>
      <c r="J87" s="196">
        <f>L87-L86-20000</f>
        <v>7878257</v>
      </c>
      <c r="K87" s="190" t="s">
        <v>4853</v>
      </c>
      <c r="L87" s="241">
        <v>675778234</v>
      </c>
      <c r="M87" s="241">
        <v>302388050</v>
      </c>
      <c r="N87" s="196">
        <f>L87+M87</f>
        <v>978166284</v>
      </c>
      <c r="O87" s="196">
        <f>M87-M86-850000</f>
        <v>3123509</v>
      </c>
      <c r="P87" s="196">
        <f>N87-N86-870000</f>
        <v>11001766</v>
      </c>
      <c r="Q87" s="84">
        <v>870000</v>
      </c>
      <c r="X87" s="22" t="s">
        <v>4646</v>
      </c>
      <c r="Y87" s="22" t="s">
        <v>4645</v>
      </c>
      <c r="Z87" s="22" t="s">
        <v>4644</v>
      </c>
      <c r="AA87" s="22" t="s">
        <v>4647</v>
      </c>
    </row>
    <row r="88" spans="6:30">
      <c r="I88" s="213" t="s">
        <v>25</v>
      </c>
      <c r="J88" s="113">
        <f t="shared" si="14"/>
        <v>17031996</v>
      </c>
      <c r="K88" s="213" t="s">
        <v>4865</v>
      </c>
      <c r="L88" s="84">
        <v>692810230</v>
      </c>
      <c r="M88" s="84">
        <v>311823171</v>
      </c>
      <c r="N88" s="113">
        <f t="shared" si="15"/>
        <v>1004633401</v>
      </c>
      <c r="O88" s="113">
        <f t="shared" si="16"/>
        <v>9435121</v>
      </c>
      <c r="P88" s="113">
        <f t="shared" si="17"/>
        <v>26467117</v>
      </c>
      <c r="Q88" s="84">
        <v>0</v>
      </c>
    </row>
    <row r="89" spans="6:30">
      <c r="I89" s="213"/>
      <c r="J89" s="113">
        <f>L89-L88</f>
        <v>-12175091</v>
      </c>
      <c r="K89" s="213" t="s">
        <v>4866</v>
      </c>
      <c r="L89" s="84">
        <v>680635139</v>
      </c>
      <c r="M89" s="84">
        <v>313005875</v>
      </c>
      <c r="N89" s="113">
        <f t="shared" si="15"/>
        <v>993641014</v>
      </c>
      <c r="O89" s="113">
        <f>M89-M88</f>
        <v>1182704</v>
      </c>
      <c r="P89" s="113">
        <f>N89-N88</f>
        <v>-10992387</v>
      </c>
      <c r="Q89" s="84">
        <v>0</v>
      </c>
    </row>
    <row r="90" spans="6:30">
      <c r="I90" s="190" t="s">
        <v>4893</v>
      </c>
      <c r="J90" s="196">
        <f>L90-L89-1000000</f>
        <v>3840350</v>
      </c>
      <c r="K90" s="190" t="s">
        <v>4873</v>
      </c>
      <c r="L90" s="241">
        <v>685475489</v>
      </c>
      <c r="M90" s="241">
        <v>312030960</v>
      </c>
      <c r="N90" s="196">
        <f t="shared" si="15"/>
        <v>997506449</v>
      </c>
      <c r="O90" s="196">
        <f t="shared" ref="O90:O91" si="20">M90-M89</f>
        <v>-974915</v>
      </c>
      <c r="P90" s="196">
        <f>N90-N89-1000000</f>
        <v>2865435</v>
      </c>
      <c r="Q90" s="84">
        <v>1000000</v>
      </c>
    </row>
    <row r="91" spans="6:30">
      <c r="I91" s="213"/>
      <c r="J91" s="113">
        <f t="shared" ref="J91:J141" si="21">L91-L90</f>
        <v>-12127865</v>
      </c>
      <c r="K91" s="213" t="s">
        <v>4874</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4883</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4885</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4886</v>
      </c>
      <c r="L94" s="84">
        <v>698450869</v>
      </c>
      <c r="M94" s="84">
        <v>316326929</v>
      </c>
      <c r="N94" s="113">
        <f t="shared" si="23"/>
        <v>1014777798</v>
      </c>
      <c r="O94" s="113">
        <f t="shared" si="24"/>
        <v>3826929</v>
      </c>
      <c r="P94" s="113">
        <f t="shared" si="25"/>
        <v>14277798</v>
      </c>
      <c r="Q94" s="84">
        <v>0</v>
      </c>
    </row>
    <row r="95" spans="6:30">
      <c r="I95" s="190" t="s">
        <v>4892</v>
      </c>
      <c r="J95" s="196">
        <f>L95-L94-2520000</f>
        <v>-274657</v>
      </c>
      <c r="K95" s="190" t="s">
        <v>4889</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4894</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4896</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4898</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4899</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4901</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4902</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4905</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4904</v>
      </c>
      <c r="L103" s="84">
        <v>716288384</v>
      </c>
      <c r="M103" s="84">
        <v>320388494</v>
      </c>
      <c r="N103" s="113">
        <f t="shared" si="26"/>
        <v>1036676878</v>
      </c>
      <c r="O103" s="113">
        <f t="shared" si="27"/>
        <v>1388494</v>
      </c>
      <c r="P103" s="113">
        <f t="shared" si="28"/>
        <v>1676878</v>
      </c>
      <c r="Q103" s="84">
        <v>0</v>
      </c>
    </row>
    <row r="104" spans="9:20">
      <c r="I104" s="190" t="s">
        <v>4949</v>
      </c>
      <c r="J104" s="196">
        <f>L104-L103-1400000</f>
        <v>-1688384</v>
      </c>
      <c r="K104" s="190" t="s">
        <v>4946</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4948</v>
      </c>
      <c r="L105" s="84">
        <v>724529471</v>
      </c>
      <c r="M105" s="84">
        <v>326836192</v>
      </c>
      <c r="N105" s="113">
        <f t="shared" si="26"/>
        <v>1051365663</v>
      </c>
      <c r="O105" s="113">
        <f t="shared" si="27"/>
        <v>4836192</v>
      </c>
      <c r="P105" s="113">
        <f t="shared" si="28"/>
        <v>13365663</v>
      </c>
      <c r="Q105" s="84">
        <v>0</v>
      </c>
    </row>
    <row r="106" spans="9:20">
      <c r="I106" s="189" t="s">
        <v>4951</v>
      </c>
      <c r="J106" s="188">
        <f>L106-L105-1550000</f>
        <v>16319322</v>
      </c>
      <c r="K106" s="189" t="s">
        <v>4950</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4952</v>
      </c>
      <c r="L107" s="84">
        <v>749984625</v>
      </c>
      <c r="M107" s="84">
        <v>336802679</v>
      </c>
      <c r="N107" s="113">
        <f t="shared" si="26"/>
        <v>1086787304</v>
      </c>
      <c r="O107" s="113">
        <f t="shared" si="27"/>
        <v>3414475</v>
      </c>
      <c r="P107" s="113">
        <f t="shared" si="28"/>
        <v>11000307</v>
      </c>
      <c r="Q107" s="84">
        <v>0</v>
      </c>
    </row>
    <row r="108" spans="9:20">
      <c r="I108" s="189" t="s">
        <v>4955</v>
      </c>
      <c r="J108" s="188">
        <f>L108-L107-250000</f>
        <v>9825827</v>
      </c>
      <c r="K108" s="189" t="s">
        <v>4897</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4956</v>
      </c>
      <c r="L109" s="84">
        <v>764265377</v>
      </c>
      <c r="M109" s="84">
        <v>346850621</v>
      </c>
      <c r="N109" s="117">
        <f t="shared" si="26"/>
        <v>1111115998</v>
      </c>
      <c r="O109" s="113">
        <f t="shared" si="27"/>
        <v>4016059</v>
      </c>
      <c r="P109" s="113">
        <f t="shared" si="28"/>
        <v>8220984</v>
      </c>
      <c r="Q109" s="84">
        <v>0</v>
      </c>
    </row>
    <row r="110" spans="9:20" ht="45">
      <c r="I110" s="248" t="s">
        <v>4963</v>
      </c>
      <c r="J110" s="249">
        <f>L110-L109+48527480</f>
        <v>-4646184</v>
      </c>
      <c r="K110" s="216" t="s">
        <v>4960</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4965</v>
      </c>
      <c r="L111" s="84">
        <v>723218149</v>
      </c>
      <c r="M111" s="84">
        <v>378192152</v>
      </c>
      <c r="N111" s="113">
        <f t="shared" ref="N111:N122" si="29">L111+M111</f>
        <v>1101410301</v>
      </c>
      <c r="O111" s="113">
        <f t="shared" ref="O111:O144" si="30">M111-M110</f>
        <v>12390034</v>
      </c>
      <c r="P111" s="113">
        <f t="shared" ref="P111:P141" si="31">N111-N110</f>
        <v>24516470</v>
      </c>
      <c r="Q111" s="84">
        <v>0</v>
      </c>
    </row>
    <row r="112" spans="9:20">
      <c r="I112" s="189" t="s">
        <v>4971</v>
      </c>
      <c r="J112" s="188">
        <f t="shared" si="21"/>
        <v>-11559770</v>
      </c>
      <c r="K112" s="189" t="s">
        <v>4966</v>
      </c>
      <c r="L112" s="239">
        <v>711658379</v>
      </c>
      <c r="M112" s="239">
        <v>375825031</v>
      </c>
      <c r="N112" s="188">
        <f t="shared" si="29"/>
        <v>1087483410</v>
      </c>
      <c r="O112" s="188">
        <f>M112-M111-400000</f>
        <v>-2767121</v>
      </c>
      <c r="P112" s="188">
        <f>N112-N111-400000</f>
        <v>-14326891</v>
      </c>
      <c r="Q112" s="84">
        <v>400000</v>
      </c>
      <c r="T112" t="s">
        <v>25</v>
      </c>
    </row>
    <row r="113" spans="9:19">
      <c r="I113" s="213" t="s">
        <v>4974</v>
      </c>
      <c r="J113" s="113">
        <f t="shared" si="21"/>
        <v>-47970668</v>
      </c>
      <c r="K113" s="213" t="s">
        <v>4973</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4977</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4978</v>
      </c>
      <c r="L115" s="84">
        <v>673546379</v>
      </c>
      <c r="M115" s="84">
        <v>385390359</v>
      </c>
      <c r="N115" s="113">
        <f t="shared" si="29"/>
        <v>1058936738</v>
      </c>
      <c r="O115" s="113">
        <f t="shared" si="30"/>
        <v>4912397</v>
      </c>
      <c r="P115" s="113">
        <f t="shared" si="31"/>
        <v>5263899</v>
      </c>
      <c r="Q115" s="84">
        <v>0</v>
      </c>
    </row>
    <row r="116" spans="9:19">
      <c r="I116" s="189" t="s">
        <v>4981</v>
      </c>
      <c r="J116" s="188">
        <f t="shared" si="21"/>
        <v>-3653734</v>
      </c>
      <c r="K116" s="189" t="s">
        <v>4979</v>
      </c>
      <c r="L116" s="239">
        <v>669892645</v>
      </c>
      <c r="M116" s="239">
        <v>383350206</v>
      </c>
      <c r="N116" s="188">
        <f>L116+M116</f>
        <v>1053242851</v>
      </c>
      <c r="O116" s="188">
        <f>M116-M115-2000000</f>
        <v>-4040153</v>
      </c>
      <c r="P116" s="188">
        <f>N116-N115-2000000</f>
        <v>-7693887</v>
      </c>
      <c r="Q116" s="84">
        <v>2000000</v>
      </c>
    </row>
    <row r="117" spans="9:19">
      <c r="I117" s="189" t="s">
        <v>4984</v>
      </c>
      <c r="J117" s="188">
        <f t="shared" si="21"/>
        <v>-492645</v>
      </c>
      <c r="K117" s="189" t="s">
        <v>4982</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4985</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4986</v>
      </c>
      <c r="L119" s="84">
        <v>685000000</v>
      </c>
      <c r="M119" s="84">
        <v>395000000</v>
      </c>
      <c r="N119" s="113">
        <f t="shared" si="29"/>
        <v>1080000000</v>
      </c>
      <c r="O119" s="113">
        <f t="shared" si="30"/>
        <v>2295548</v>
      </c>
      <c r="P119" s="113">
        <f t="shared" si="31"/>
        <v>10130487</v>
      </c>
      <c r="Q119" s="84">
        <v>0</v>
      </c>
    </row>
    <row r="120" spans="9:19">
      <c r="I120" s="189" t="s">
        <v>4990</v>
      </c>
      <c r="J120" s="188">
        <f>L120-L119-2100000</f>
        <v>2603523</v>
      </c>
      <c r="K120" s="189" t="s">
        <v>4988</v>
      </c>
      <c r="L120" s="239">
        <v>689703523</v>
      </c>
      <c r="M120" s="239">
        <v>399879880</v>
      </c>
      <c r="N120" s="188">
        <f t="shared" si="29"/>
        <v>1089583403</v>
      </c>
      <c r="O120" s="188">
        <f t="shared" si="30"/>
        <v>4879880</v>
      </c>
      <c r="P120" s="188">
        <f>N120-N119-2100000</f>
        <v>7483403</v>
      </c>
      <c r="Q120" s="84">
        <v>2100000</v>
      </c>
    </row>
    <row r="121" spans="9:19">
      <c r="I121" s="189" t="s">
        <v>4995</v>
      </c>
      <c r="J121" s="188">
        <f>L121-L120-100000</f>
        <v>1223636</v>
      </c>
      <c r="K121" s="189" t="s">
        <v>4993</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4997</v>
      </c>
      <c r="L122" s="84">
        <v>687768941</v>
      </c>
      <c r="M122" s="84">
        <v>400952125</v>
      </c>
      <c r="N122" s="113">
        <f t="shared" si="29"/>
        <v>1088721066</v>
      </c>
      <c r="O122" s="113">
        <f t="shared" si="30"/>
        <v>-968588</v>
      </c>
      <c r="P122" s="113">
        <f t="shared" si="31"/>
        <v>-4226806</v>
      </c>
      <c r="Q122" s="229">
        <v>0</v>
      </c>
    </row>
    <row r="123" spans="9:19">
      <c r="I123" s="189" t="s">
        <v>5005</v>
      </c>
      <c r="J123" s="188">
        <f>L123-L122-115000</f>
        <v>-1004989</v>
      </c>
      <c r="K123" s="189" t="s">
        <v>5000</v>
      </c>
      <c r="L123" s="239">
        <v>686878952</v>
      </c>
      <c r="M123" s="239">
        <v>402566982</v>
      </c>
      <c r="N123" s="188">
        <f>L123+M123</f>
        <v>1089445934</v>
      </c>
      <c r="O123" s="188">
        <f>M123-M122-115000</f>
        <v>1499857</v>
      </c>
      <c r="P123" s="188">
        <f>N123-N122-230000</f>
        <v>494868</v>
      </c>
      <c r="Q123" s="229">
        <v>230000</v>
      </c>
    </row>
    <row r="124" spans="9:19">
      <c r="I124" s="189" t="s">
        <v>5009</v>
      </c>
      <c r="J124" s="188">
        <f>L124-L123-900000</f>
        <v>16455514</v>
      </c>
      <c r="K124" s="189" t="s">
        <v>5007</v>
      </c>
      <c r="L124" s="239">
        <v>704234466</v>
      </c>
      <c r="M124" s="239">
        <v>413359717</v>
      </c>
      <c r="N124" s="188">
        <f t="shared" ref="N124:N145" si="32">L124+M124</f>
        <v>1117594183</v>
      </c>
      <c r="O124" s="188">
        <f t="shared" si="30"/>
        <v>10792735</v>
      </c>
      <c r="P124" s="188">
        <f>N124-N123-900000</f>
        <v>27248249</v>
      </c>
      <c r="Q124" s="229">
        <v>900000</v>
      </c>
    </row>
    <row r="125" spans="9:19">
      <c r="I125" s="189" t="s">
        <v>5013</v>
      </c>
      <c r="J125" s="188">
        <f>L125-L124-241774</f>
        <v>7847987</v>
      </c>
      <c r="K125" s="189" t="s">
        <v>5010</v>
      </c>
      <c r="L125" s="239">
        <v>712324227</v>
      </c>
      <c r="M125" s="239">
        <v>416450606</v>
      </c>
      <c r="N125" s="188">
        <f>L125+M125</f>
        <v>1128774833</v>
      </c>
      <c r="O125" s="188">
        <f>M125-M124-50000</f>
        <v>3040889</v>
      </c>
      <c r="P125" s="188">
        <f>N125-N124-291774</f>
        <v>10888876</v>
      </c>
      <c r="Q125" s="229">
        <v>291774</v>
      </c>
    </row>
    <row r="126" spans="9:19">
      <c r="I126" s="189" t="s">
        <v>5024</v>
      </c>
      <c r="J126" s="188">
        <f>L126-L125-5701774</f>
        <v>-18426154</v>
      </c>
      <c r="K126" s="189" t="s">
        <v>5022</v>
      </c>
      <c r="L126" s="239">
        <v>699599847</v>
      </c>
      <c r="M126" s="239">
        <v>407446033</v>
      </c>
      <c r="N126" s="188">
        <f t="shared" si="32"/>
        <v>1107045880</v>
      </c>
      <c r="O126" s="188">
        <f>M126-M125-50000</f>
        <v>-9054573</v>
      </c>
      <c r="P126" s="188">
        <f>N126-N125-5751774</f>
        <v>-27480727</v>
      </c>
      <c r="Q126" s="229">
        <v>5751774</v>
      </c>
    </row>
    <row r="127" spans="9:19">
      <c r="I127" s="251" t="s">
        <v>5030</v>
      </c>
      <c r="J127" s="252">
        <f t="shared" si="21"/>
        <v>9831878</v>
      </c>
      <c r="K127" s="251" t="s">
        <v>5025</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5031</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5033</v>
      </c>
      <c r="L129" s="255">
        <v>716306417</v>
      </c>
      <c r="M129" s="255">
        <v>419768145</v>
      </c>
      <c r="N129" s="117">
        <f>L129+M129</f>
        <v>1136074562</v>
      </c>
      <c r="O129" s="117">
        <f>M129-M128</f>
        <v>2907177</v>
      </c>
      <c r="P129" s="117">
        <f>N129-N128</f>
        <v>6569162</v>
      </c>
      <c r="Q129" s="229">
        <v>0</v>
      </c>
    </row>
    <row r="130" spans="9:19">
      <c r="I130" s="189" t="s">
        <v>5043</v>
      </c>
      <c r="J130" s="188">
        <f t="shared" si="21"/>
        <v>-9284823</v>
      </c>
      <c r="K130" s="189" t="s">
        <v>5036</v>
      </c>
      <c r="L130" s="239">
        <v>707021594</v>
      </c>
      <c r="M130" s="239">
        <v>420305454</v>
      </c>
      <c r="N130" s="188">
        <f t="shared" si="32"/>
        <v>1127327048</v>
      </c>
      <c r="O130" s="188">
        <f>M130-M129-6800000</f>
        <v>-6262691</v>
      </c>
      <c r="P130" s="188">
        <f>N130-N129-6800000</f>
        <v>-15547514</v>
      </c>
      <c r="Q130" s="229">
        <v>6800000</v>
      </c>
      <c r="S130" t="s">
        <v>25</v>
      </c>
    </row>
    <row r="131" spans="9:19">
      <c r="I131" s="189" t="s">
        <v>5051</v>
      </c>
      <c r="J131" s="188">
        <f t="shared" si="21"/>
        <v>2112595</v>
      </c>
      <c r="K131" s="189" t="s">
        <v>5044</v>
      </c>
      <c r="L131" s="239">
        <v>709134189</v>
      </c>
      <c r="M131" s="239">
        <v>421097153</v>
      </c>
      <c r="N131" s="188">
        <f t="shared" si="32"/>
        <v>1130231342</v>
      </c>
      <c r="O131" s="188">
        <f>M131-M130-500000</f>
        <v>291699</v>
      </c>
      <c r="P131" s="188">
        <f>N131-N130-500000</f>
        <v>2404294</v>
      </c>
      <c r="Q131" s="229">
        <v>500000</v>
      </c>
      <c r="S131" t="s">
        <v>25</v>
      </c>
    </row>
    <row r="132" spans="9:19">
      <c r="I132" s="251" t="s">
        <v>5055</v>
      </c>
      <c r="J132" s="252">
        <f t="shared" si="21"/>
        <v>1064287</v>
      </c>
      <c r="K132" s="251" t="s">
        <v>5052</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5059</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5060</v>
      </c>
      <c r="L134" s="84">
        <v>744280570</v>
      </c>
      <c r="M134" s="84">
        <v>440002399</v>
      </c>
      <c r="N134" s="117">
        <f t="shared" si="32"/>
        <v>1184282969</v>
      </c>
      <c r="O134" s="113">
        <f t="shared" si="30"/>
        <v>10396274</v>
      </c>
      <c r="P134" s="113">
        <f t="shared" si="31"/>
        <v>31854556</v>
      </c>
      <c r="Q134" s="229">
        <v>0</v>
      </c>
    </row>
    <row r="135" spans="9:19">
      <c r="I135" s="189" t="s">
        <v>5082</v>
      </c>
      <c r="J135" s="188">
        <f>L135-L134-1130250</f>
        <v>-410820</v>
      </c>
      <c r="K135" s="189" t="s">
        <v>5062</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5066</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5074</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5078</v>
      </c>
      <c r="L138" s="84">
        <v>736327754</v>
      </c>
      <c r="M138" s="84">
        <v>439057094</v>
      </c>
      <c r="N138" s="113">
        <f t="shared" si="32"/>
        <v>1175384848</v>
      </c>
      <c r="O138" s="113">
        <f t="shared" si="30"/>
        <v>5516545</v>
      </c>
      <c r="P138" s="113">
        <f t="shared" si="31"/>
        <v>9638954</v>
      </c>
      <c r="Q138" s="229">
        <v>0</v>
      </c>
    </row>
    <row r="139" spans="9:19">
      <c r="I139" s="189" t="s">
        <v>5081</v>
      </c>
      <c r="J139" s="188">
        <f>L139-L138-206000</f>
        <v>15013287</v>
      </c>
      <c r="K139" s="189" t="s">
        <v>5080</v>
      </c>
      <c r="L139" s="239">
        <v>751547041</v>
      </c>
      <c r="M139" s="239">
        <v>448656068</v>
      </c>
      <c r="N139" s="188">
        <f t="shared" si="32"/>
        <v>1200203109</v>
      </c>
      <c r="O139" s="188">
        <f>M139-M138-206000</f>
        <v>9392974</v>
      </c>
      <c r="P139" s="188">
        <f>N139-N138-412000</f>
        <v>24406261</v>
      </c>
      <c r="Q139" s="229">
        <v>412000</v>
      </c>
    </row>
    <row r="140" spans="9:19">
      <c r="I140" s="251" t="s">
        <v>5086</v>
      </c>
      <c r="J140" s="252">
        <f>L140-L139-50000</f>
        <v>22852739</v>
      </c>
      <c r="K140" s="251" t="s">
        <v>5085</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5091</v>
      </c>
      <c r="L141" s="84">
        <v>788064769</v>
      </c>
      <c r="M141" s="84">
        <v>470434493</v>
      </c>
      <c r="N141" s="117">
        <f t="shared" si="32"/>
        <v>1258499262</v>
      </c>
      <c r="O141" s="113">
        <f t="shared" si="30"/>
        <v>9638295</v>
      </c>
      <c r="P141" s="113">
        <f t="shared" si="31"/>
        <v>23253284</v>
      </c>
      <c r="Q141" s="229">
        <v>0</v>
      </c>
    </row>
    <row r="142" spans="9:19">
      <c r="I142" s="189" t="s">
        <v>5095</v>
      </c>
      <c r="J142" s="188">
        <f>L142-L141-105000</f>
        <v>7274368</v>
      </c>
      <c r="K142" s="189" t="s">
        <v>5092</v>
      </c>
      <c r="L142" s="239">
        <v>795444137</v>
      </c>
      <c r="M142" s="239">
        <v>496046411</v>
      </c>
      <c r="N142" s="188">
        <f t="shared" si="32"/>
        <v>1291490548</v>
      </c>
      <c r="O142" s="188">
        <f>M142-M141-20000000</f>
        <v>5611918</v>
      </c>
      <c r="P142" s="188">
        <f>N142-N141-20105000</f>
        <v>12886286</v>
      </c>
      <c r="Q142" s="229">
        <v>20105000</v>
      </c>
    </row>
    <row r="143" spans="9:19">
      <c r="I143" s="265" t="s">
        <v>5108</v>
      </c>
      <c r="J143" s="266">
        <f>L143-L142+21285588</f>
        <v>17942685</v>
      </c>
      <c r="K143" s="265" t="s">
        <v>5097</v>
      </c>
      <c r="L143" s="267">
        <v>792101234</v>
      </c>
      <c r="M143" s="267">
        <v>504721695</v>
      </c>
      <c r="N143" s="266">
        <f t="shared" si="32"/>
        <v>1296822929</v>
      </c>
      <c r="O143" s="266">
        <f t="shared" si="30"/>
        <v>8675284</v>
      </c>
      <c r="P143" s="266">
        <f>N143-N142+21285588</f>
        <v>26617969</v>
      </c>
      <c r="Q143" s="229">
        <v>-21285588</v>
      </c>
    </row>
    <row r="144" spans="9:19">
      <c r="I144" s="265" t="s">
        <v>5109</v>
      </c>
      <c r="J144" s="266">
        <f>L144-L143+5949277</f>
        <v>6616903</v>
      </c>
      <c r="K144" s="265" t="s">
        <v>5100</v>
      </c>
      <c r="L144" s="267">
        <v>792768860</v>
      </c>
      <c r="M144" s="267">
        <v>507955566</v>
      </c>
      <c r="N144" s="249">
        <f t="shared" si="32"/>
        <v>1300724426</v>
      </c>
      <c r="O144" s="266">
        <f t="shared" si="30"/>
        <v>3233871</v>
      </c>
      <c r="P144" s="266">
        <f>N144-N143+5949277</f>
        <v>9850774</v>
      </c>
      <c r="Q144" s="229">
        <v>-5949277</v>
      </c>
    </row>
    <row r="145" spans="9:23" ht="30">
      <c r="I145" s="248" t="s">
        <v>5110</v>
      </c>
      <c r="J145" s="249">
        <f>L145-L144+16266000</f>
        <v>-3424278</v>
      </c>
      <c r="K145" s="216" t="s">
        <v>992</v>
      </c>
      <c r="L145" s="250">
        <v>773078582</v>
      </c>
      <c r="M145" s="250">
        <v>483243300</v>
      </c>
      <c r="N145" s="249">
        <f t="shared" si="32"/>
        <v>1256321882</v>
      </c>
      <c r="O145" s="249">
        <f>M145-M144+24159150</f>
        <v>-553116</v>
      </c>
      <c r="P145" s="249">
        <f>N145-N144+40425150</f>
        <v>-3977394</v>
      </c>
      <c r="Q145" s="229">
        <v>-40425150</v>
      </c>
    </row>
    <row r="146" spans="9:23" ht="30">
      <c r="I146" s="268" t="s">
        <v>5113</v>
      </c>
      <c r="J146" s="220">
        <f>L146-L145+15482124</f>
        <v>-6662026</v>
      </c>
      <c r="K146" s="219" t="s">
        <v>5111</v>
      </c>
      <c r="L146" s="269">
        <v>750934432</v>
      </c>
      <c r="M146" s="269">
        <v>477277384</v>
      </c>
      <c r="N146" s="220">
        <f t="shared" ref="N146:N206" si="33">L146+M146</f>
        <v>1228211816</v>
      </c>
      <c r="O146" s="220">
        <f>M146-M145-50000</f>
        <v>-6015916</v>
      </c>
      <c r="P146" s="220">
        <f>N146-N145-50000+15482124</f>
        <v>-12677942</v>
      </c>
      <c r="Q146" s="229">
        <f>50000-15482124</f>
        <v>-15432124</v>
      </c>
    </row>
    <row r="147" spans="9:23">
      <c r="I147" s="213"/>
      <c r="J147" s="113">
        <f t="shared" ref="J147:J206" si="34">L147-L146</f>
        <v>-5020195</v>
      </c>
      <c r="K147" s="213" t="s">
        <v>5114</v>
      </c>
      <c r="L147" s="84">
        <v>745914237</v>
      </c>
      <c r="M147" s="84">
        <v>473862216</v>
      </c>
      <c r="N147" s="113">
        <f t="shared" si="33"/>
        <v>1219776453</v>
      </c>
      <c r="O147" s="113">
        <f t="shared" ref="O147:O158" si="35">M147-M146</f>
        <v>-3415168</v>
      </c>
      <c r="P147" s="113">
        <f t="shared" ref="P147:P158" si="36">N147-N146</f>
        <v>-8435363</v>
      </c>
      <c r="Q147" s="229">
        <v>0</v>
      </c>
    </row>
    <row r="148" spans="9:23">
      <c r="I148" s="213"/>
      <c r="J148" s="113">
        <f t="shared" si="34"/>
        <v>-2990159</v>
      </c>
      <c r="K148" s="213" t="s">
        <v>5115</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5116</v>
      </c>
      <c r="L149" s="84">
        <v>740819252</v>
      </c>
      <c r="M149" s="84">
        <v>470305993</v>
      </c>
      <c r="N149" s="113">
        <f t="shared" si="33"/>
        <v>1211125245</v>
      </c>
      <c r="O149" s="113">
        <f t="shared" si="35"/>
        <v>-1758760</v>
      </c>
      <c r="P149" s="113">
        <f t="shared" si="36"/>
        <v>-3863586</v>
      </c>
      <c r="Q149" s="229">
        <v>0</v>
      </c>
      <c r="V149" t="s">
        <v>25</v>
      </c>
    </row>
    <row r="150" spans="9:23">
      <c r="I150" s="189" t="s">
        <v>5119</v>
      </c>
      <c r="J150" s="188">
        <f t="shared" si="34"/>
        <v>19640187</v>
      </c>
      <c r="K150" s="189" t="s">
        <v>5118</v>
      </c>
      <c r="L150" s="239">
        <v>760459439</v>
      </c>
      <c r="M150" s="239">
        <v>480341526</v>
      </c>
      <c r="N150" s="188">
        <f t="shared" si="33"/>
        <v>1240800965</v>
      </c>
      <c r="O150" s="188">
        <f>M150-M149-2480000</f>
        <v>7555533</v>
      </c>
      <c r="P150" s="188">
        <f>N150-N149-2480000</f>
        <v>27195720</v>
      </c>
      <c r="Q150" s="229">
        <v>2480000</v>
      </c>
    </row>
    <row r="151" spans="9:23">
      <c r="I151" s="213" t="s">
        <v>5122</v>
      </c>
      <c r="J151" s="113">
        <f>L151-L150-10000000</f>
        <v>7047541</v>
      </c>
      <c r="K151" s="213" t="s">
        <v>5121</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5126</v>
      </c>
      <c r="L152" s="84">
        <v>789833167</v>
      </c>
      <c r="M152" s="84">
        <v>496662271</v>
      </c>
      <c r="N152" s="117">
        <f t="shared" si="33"/>
        <v>1286495438</v>
      </c>
      <c r="O152" s="113">
        <f t="shared" si="35"/>
        <v>9650330</v>
      </c>
      <c r="P152" s="113">
        <f t="shared" si="36"/>
        <v>21976517</v>
      </c>
      <c r="Q152" s="229">
        <v>0</v>
      </c>
    </row>
    <row r="153" spans="9:23">
      <c r="I153" s="213"/>
      <c r="J153" s="113">
        <f t="shared" si="34"/>
        <v>-15331439</v>
      </c>
      <c r="K153" s="213" t="s">
        <v>5129</v>
      </c>
      <c r="L153" s="84">
        <v>774501728</v>
      </c>
      <c r="M153" s="84">
        <v>489029442</v>
      </c>
      <c r="N153" s="113">
        <f t="shared" si="33"/>
        <v>1263531170</v>
      </c>
      <c r="O153" s="113">
        <f t="shared" si="35"/>
        <v>-7632829</v>
      </c>
      <c r="P153" s="113">
        <f t="shared" si="36"/>
        <v>-22964268</v>
      </c>
      <c r="Q153" s="229">
        <v>0</v>
      </c>
    </row>
    <row r="154" spans="9:23">
      <c r="I154" s="213"/>
      <c r="J154" s="113">
        <f t="shared" si="34"/>
        <v>-32356446</v>
      </c>
      <c r="K154" s="213" t="s">
        <v>5133</v>
      </c>
      <c r="L154" s="84">
        <v>742145282</v>
      </c>
      <c r="M154" s="84">
        <v>468861007</v>
      </c>
      <c r="N154" s="113">
        <f t="shared" si="33"/>
        <v>1211006289</v>
      </c>
      <c r="O154" s="113">
        <f t="shared" si="35"/>
        <v>-20168435</v>
      </c>
      <c r="P154" s="113">
        <f t="shared" si="36"/>
        <v>-52524881</v>
      </c>
      <c r="Q154" s="229">
        <v>0</v>
      </c>
      <c r="S154" s="114"/>
    </row>
    <row r="155" spans="9:23">
      <c r="I155" s="213"/>
      <c r="J155" s="113">
        <f t="shared" si="34"/>
        <v>27087716</v>
      </c>
      <c r="K155" s="213" t="s">
        <v>5127</v>
      </c>
      <c r="L155" s="84">
        <v>769232998</v>
      </c>
      <c r="M155" s="84">
        <v>486200144</v>
      </c>
      <c r="N155" s="113">
        <f t="shared" si="33"/>
        <v>1255433142</v>
      </c>
      <c r="O155" s="113">
        <f t="shared" si="35"/>
        <v>17339137</v>
      </c>
      <c r="P155" s="113">
        <f t="shared" si="36"/>
        <v>44426853</v>
      </c>
      <c r="Q155" s="229">
        <v>0</v>
      </c>
    </row>
    <row r="156" spans="9:23">
      <c r="I156" s="213"/>
      <c r="J156" s="113">
        <f t="shared" si="34"/>
        <v>-11588296</v>
      </c>
      <c r="K156" s="213" t="s">
        <v>5139</v>
      </c>
      <c r="L156" s="84">
        <v>757644702</v>
      </c>
      <c r="M156" s="84">
        <v>479518419</v>
      </c>
      <c r="N156" s="113">
        <f t="shared" si="33"/>
        <v>1237163121</v>
      </c>
      <c r="O156" s="113">
        <f t="shared" si="35"/>
        <v>-6681725</v>
      </c>
      <c r="P156" s="113">
        <f t="shared" si="36"/>
        <v>-18270021</v>
      </c>
      <c r="Q156" s="229">
        <v>0</v>
      </c>
    </row>
    <row r="157" spans="9:23">
      <c r="I157" s="213"/>
      <c r="J157" s="113">
        <f t="shared" si="34"/>
        <v>44081635</v>
      </c>
      <c r="K157" s="213" t="s">
        <v>4235</v>
      </c>
      <c r="L157" s="84">
        <v>801726337</v>
      </c>
      <c r="M157" s="84">
        <v>506850552</v>
      </c>
      <c r="N157" s="117">
        <f t="shared" si="33"/>
        <v>1308576889</v>
      </c>
      <c r="O157" s="113">
        <f t="shared" si="35"/>
        <v>27332133</v>
      </c>
      <c r="P157" s="113">
        <f t="shared" si="36"/>
        <v>71413768</v>
      </c>
      <c r="Q157" s="229">
        <v>0</v>
      </c>
      <c r="W157" t="s">
        <v>25</v>
      </c>
    </row>
    <row r="158" spans="9:23">
      <c r="I158" s="213"/>
      <c r="J158" s="113">
        <f t="shared" si="34"/>
        <v>6630946</v>
      </c>
      <c r="K158" s="213" t="s">
        <v>5141</v>
      </c>
      <c r="L158" s="84">
        <v>808357283</v>
      </c>
      <c r="M158" s="84">
        <v>511928213</v>
      </c>
      <c r="N158" s="117">
        <f t="shared" si="33"/>
        <v>1320285496</v>
      </c>
      <c r="O158" s="113">
        <f t="shared" si="35"/>
        <v>5077661</v>
      </c>
      <c r="P158" s="113">
        <f t="shared" si="36"/>
        <v>11708607</v>
      </c>
      <c r="Q158" s="229">
        <v>0</v>
      </c>
    </row>
    <row r="159" spans="9:23">
      <c r="I159" s="213"/>
      <c r="J159" s="113">
        <f t="shared" si="34"/>
        <v>-3113999</v>
      </c>
      <c r="K159" s="213" t="s">
        <v>5128</v>
      </c>
      <c r="L159" s="84">
        <v>805243284</v>
      </c>
      <c r="M159" s="84">
        <v>510366011</v>
      </c>
      <c r="N159" s="113">
        <f t="shared" si="33"/>
        <v>1315609295</v>
      </c>
      <c r="O159" s="113">
        <f t="shared" ref="O159:O206" si="37">M159-M158</f>
        <v>-1562202</v>
      </c>
      <c r="P159" s="113">
        <f t="shared" ref="P159:P206" si="38">N159-N158</f>
        <v>-4676201</v>
      </c>
      <c r="Q159" s="229">
        <v>0</v>
      </c>
    </row>
    <row r="160" spans="9:23" ht="30">
      <c r="I160" s="272" t="s">
        <v>5158</v>
      </c>
      <c r="J160" s="188">
        <f>L160-L159-1000000</f>
        <v>-11757327</v>
      </c>
      <c r="K160" s="189" t="s">
        <v>5157</v>
      </c>
      <c r="L160" s="239">
        <v>794485957</v>
      </c>
      <c r="M160" s="239">
        <v>500307505</v>
      </c>
      <c r="N160" s="188">
        <f t="shared" si="33"/>
        <v>1294793462</v>
      </c>
      <c r="O160" s="188">
        <f>M160-M159-400000</f>
        <v>-10458506</v>
      </c>
      <c r="P160" s="188">
        <f>N160-N159-1400000</f>
        <v>-22215833</v>
      </c>
      <c r="Q160" s="229">
        <v>1400000</v>
      </c>
    </row>
    <row r="161" spans="9:18">
      <c r="I161" s="213"/>
      <c r="J161" s="113">
        <f t="shared" si="34"/>
        <v>15301801</v>
      </c>
      <c r="K161" s="213" t="s">
        <v>5159</v>
      </c>
      <c r="L161" s="84">
        <v>809787758</v>
      </c>
      <c r="M161" s="84">
        <v>508573621</v>
      </c>
      <c r="N161" s="113">
        <f t="shared" si="33"/>
        <v>1318361379</v>
      </c>
      <c r="O161" s="113">
        <f t="shared" si="37"/>
        <v>8266116</v>
      </c>
      <c r="P161" s="113">
        <f t="shared" si="38"/>
        <v>23567917</v>
      </c>
    </row>
    <row r="162" spans="9:18">
      <c r="I162" s="251" t="s">
        <v>5163</v>
      </c>
      <c r="J162" s="252">
        <f>L162-L161-40000</f>
        <v>22492792</v>
      </c>
      <c r="K162" s="251" t="s">
        <v>5160</v>
      </c>
      <c r="L162" s="253">
        <v>832320550</v>
      </c>
      <c r="M162" s="253">
        <v>520218492</v>
      </c>
      <c r="N162" s="252">
        <f t="shared" si="33"/>
        <v>1352539042</v>
      </c>
      <c r="O162" s="252">
        <f>M162-M161-40000</f>
        <v>11604871</v>
      </c>
      <c r="P162" s="252">
        <f>N162-N161-80000</f>
        <v>34097663</v>
      </c>
      <c r="Q162" s="229">
        <v>80000</v>
      </c>
    </row>
    <row r="163" spans="9:18">
      <c r="I163" s="213"/>
      <c r="J163" s="113">
        <f t="shared" si="34"/>
        <v>17160356</v>
      </c>
      <c r="K163" s="213" t="s">
        <v>5165</v>
      </c>
      <c r="L163" s="84">
        <v>849480906</v>
      </c>
      <c r="M163" s="84">
        <v>529879172</v>
      </c>
      <c r="N163" s="35">
        <f t="shared" si="33"/>
        <v>1379360078</v>
      </c>
      <c r="O163" s="113">
        <f t="shared" si="37"/>
        <v>9660680</v>
      </c>
      <c r="P163" s="113">
        <f t="shared" si="38"/>
        <v>26821036</v>
      </c>
      <c r="Q163" s="229">
        <v>0</v>
      </c>
    </row>
    <row r="164" spans="9:18">
      <c r="I164" s="213"/>
      <c r="J164" s="113">
        <f t="shared" si="34"/>
        <v>-9629608</v>
      </c>
      <c r="K164" s="213" t="s">
        <v>5176</v>
      </c>
      <c r="L164" s="84">
        <v>839851298</v>
      </c>
      <c r="M164" s="84">
        <v>524867809</v>
      </c>
      <c r="N164" s="113">
        <f t="shared" si="33"/>
        <v>1364719107</v>
      </c>
      <c r="O164" s="113">
        <f t="shared" si="37"/>
        <v>-5011363</v>
      </c>
      <c r="P164" s="113">
        <f t="shared" si="38"/>
        <v>-14640971</v>
      </c>
      <c r="Q164" s="229">
        <v>0</v>
      </c>
    </row>
    <row r="165" spans="9:18">
      <c r="I165" s="251" t="s">
        <v>5182</v>
      </c>
      <c r="J165" s="252">
        <f>L165-L164-120000</f>
        <v>-2216696</v>
      </c>
      <c r="K165" s="251" t="s">
        <v>5179</v>
      </c>
      <c r="L165" s="253">
        <v>837754602</v>
      </c>
      <c r="M165" s="253">
        <v>524141818</v>
      </c>
      <c r="N165" s="252">
        <f t="shared" si="33"/>
        <v>1361896420</v>
      </c>
      <c r="O165" s="252">
        <f>M165-M164-200000</f>
        <v>-925991</v>
      </c>
      <c r="P165" s="252">
        <f>N165-N164-320000</f>
        <v>-3142687</v>
      </c>
      <c r="Q165" s="229">
        <v>320000</v>
      </c>
    </row>
    <row r="166" spans="9:18">
      <c r="I166" s="251" t="s">
        <v>5051</v>
      </c>
      <c r="J166" s="252">
        <f t="shared" si="34"/>
        <v>-5830761</v>
      </c>
      <c r="K166" s="251" t="s">
        <v>5185</v>
      </c>
      <c r="L166" s="253">
        <v>831923841</v>
      </c>
      <c r="M166" s="253">
        <v>520741895</v>
      </c>
      <c r="N166" s="252">
        <f t="shared" si="33"/>
        <v>1352665736</v>
      </c>
      <c r="O166" s="252">
        <f>M166-M165-500000</f>
        <v>-3899923</v>
      </c>
      <c r="P166" s="252">
        <f>N166-N165-500000</f>
        <v>-9730684</v>
      </c>
      <c r="Q166" s="229">
        <v>500000</v>
      </c>
    </row>
    <row r="167" spans="9:18">
      <c r="I167" s="251" t="s">
        <v>5051</v>
      </c>
      <c r="J167" s="252">
        <f t="shared" si="34"/>
        <v>-22467551</v>
      </c>
      <c r="K167" s="251" t="s">
        <v>5188</v>
      </c>
      <c r="L167" s="253">
        <v>809456290</v>
      </c>
      <c r="M167" s="253">
        <v>509313372</v>
      </c>
      <c r="N167" s="252">
        <f t="shared" si="33"/>
        <v>1318769662</v>
      </c>
      <c r="O167" s="252">
        <f>M167-M166-500000</f>
        <v>-11928523</v>
      </c>
      <c r="P167" s="252">
        <f>N167-N166-500000</f>
        <v>-34396074</v>
      </c>
      <c r="Q167" s="229">
        <v>500000</v>
      </c>
    </row>
    <row r="168" spans="9:18">
      <c r="I168" s="251" t="s">
        <v>5192</v>
      </c>
      <c r="J168" s="252">
        <f>L168-L167-249000</f>
        <v>-15588738</v>
      </c>
      <c r="K168" s="251" t="s">
        <v>5168</v>
      </c>
      <c r="L168" s="253">
        <v>794116552</v>
      </c>
      <c r="M168" s="253">
        <v>501172095</v>
      </c>
      <c r="N168" s="252">
        <f t="shared" si="33"/>
        <v>1295288647</v>
      </c>
      <c r="O168" s="252">
        <f>M168-M167-250000</f>
        <v>-8391277</v>
      </c>
      <c r="P168" s="252">
        <f>N168-N167-499000</f>
        <v>-23980015</v>
      </c>
      <c r="Q168" s="229">
        <v>499000</v>
      </c>
    </row>
    <row r="169" spans="9:18">
      <c r="I169" s="213"/>
      <c r="J169" s="113">
        <f t="shared" si="34"/>
        <v>11269240</v>
      </c>
      <c r="K169" s="213" t="s">
        <v>5193</v>
      </c>
      <c r="L169" s="84">
        <v>805385792</v>
      </c>
      <c r="M169" s="84">
        <v>507195022</v>
      </c>
      <c r="N169" s="113">
        <f t="shared" si="33"/>
        <v>1312580814</v>
      </c>
      <c r="O169" s="113">
        <f t="shared" si="37"/>
        <v>6022927</v>
      </c>
      <c r="P169" s="113">
        <f t="shared" si="38"/>
        <v>17292167</v>
      </c>
      <c r="Q169" s="229">
        <v>0</v>
      </c>
    </row>
    <row r="170" spans="9:18">
      <c r="I170" s="213"/>
      <c r="J170" s="113">
        <f t="shared" si="34"/>
        <v>-18119284</v>
      </c>
      <c r="K170" s="213" t="s">
        <v>5197</v>
      </c>
      <c r="L170" s="84">
        <v>787266508</v>
      </c>
      <c r="M170" s="84">
        <v>498492039</v>
      </c>
      <c r="N170" s="113">
        <f t="shared" si="33"/>
        <v>1285758547</v>
      </c>
      <c r="O170" s="113">
        <f t="shared" si="37"/>
        <v>-8702983</v>
      </c>
      <c r="P170" s="113">
        <f t="shared" si="38"/>
        <v>-26822267</v>
      </c>
      <c r="Q170" s="229">
        <v>0</v>
      </c>
    </row>
    <row r="171" spans="9:18">
      <c r="I171" s="213"/>
      <c r="J171" s="113">
        <f t="shared" si="34"/>
        <v>19151757</v>
      </c>
      <c r="K171" s="213" t="s">
        <v>3852</v>
      </c>
      <c r="L171" s="84">
        <v>806418265</v>
      </c>
      <c r="M171" s="84">
        <v>508251365</v>
      </c>
      <c r="N171" s="113">
        <f t="shared" si="33"/>
        <v>1314669630</v>
      </c>
      <c r="O171" s="113">
        <f t="shared" si="37"/>
        <v>9759326</v>
      </c>
      <c r="P171" s="113">
        <f t="shared" si="38"/>
        <v>28911083</v>
      </c>
      <c r="Q171" s="229">
        <v>0</v>
      </c>
    </row>
    <row r="172" spans="9:18">
      <c r="I172" s="213"/>
      <c r="J172" s="113">
        <f t="shared" si="34"/>
        <v>-130356</v>
      </c>
      <c r="K172" s="213" t="s">
        <v>5206</v>
      </c>
      <c r="L172" s="84">
        <v>806287909</v>
      </c>
      <c r="M172" s="255">
        <v>508728805</v>
      </c>
      <c r="N172" s="113">
        <f t="shared" si="33"/>
        <v>1315016714</v>
      </c>
      <c r="O172" s="113">
        <f t="shared" si="37"/>
        <v>477440</v>
      </c>
      <c r="P172" s="113">
        <f t="shared" si="38"/>
        <v>347084</v>
      </c>
      <c r="Q172" s="229">
        <v>0</v>
      </c>
    </row>
    <row r="173" spans="9:18">
      <c r="I173" s="213"/>
      <c r="J173" s="113">
        <f t="shared" si="34"/>
        <v>-806287909</v>
      </c>
      <c r="K173" s="213"/>
      <c r="L173" s="84"/>
      <c r="M173" s="84"/>
      <c r="N173" s="113">
        <f t="shared" si="33"/>
        <v>0</v>
      </c>
      <c r="O173" s="113">
        <f t="shared" si="37"/>
        <v>-508728805</v>
      </c>
      <c r="P173" s="113">
        <f t="shared" si="38"/>
        <v>-1315016714</v>
      </c>
      <c r="R173" t="s">
        <v>25</v>
      </c>
    </row>
    <row r="174" spans="9:18">
      <c r="I174" s="213"/>
      <c r="J174" s="113">
        <f t="shared" si="34"/>
        <v>0</v>
      </c>
      <c r="K174" s="213"/>
      <c r="L174" s="84"/>
      <c r="M174" s="84"/>
      <c r="N174" s="113">
        <f t="shared" si="33"/>
        <v>0</v>
      </c>
      <c r="O174" s="113">
        <f t="shared" si="37"/>
        <v>0</v>
      </c>
      <c r="P174" s="113">
        <f t="shared" si="38"/>
        <v>0</v>
      </c>
    </row>
    <row r="175" spans="9:18">
      <c r="I175" s="213"/>
      <c r="J175" s="113">
        <f t="shared" si="34"/>
        <v>0</v>
      </c>
      <c r="K175" s="213"/>
      <c r="L175" s="84"/>
      <c r="M175" s="84"/>
      <c r="N175" s="113">
        <f t="shared" si="33"/>
        <v>0</v>
      </c>
      <c r="O175" s="113">
        <f t="shared" si="37"/>
        <v>0</v>
      </c>
      <c r="P175" s="113">
        <f t="shared" si="38"/>
        <v>0</v>
      </c>
    </row>
    <row r="176" spans="9:18">
      <c r="I176" s="213"/>
      <c r="J176" s="113">
        <f t="shared" si="34"/>
        <v>0</v>
      </c>
      <c r="K176" s="213"/>
      <c r="L176" s="84"/>
      <c r="M176" s="84"/>
      <c r="N176" s="113">
        <f t="shared" si="33"/>
        <v>0</v>
      </c>
      <c r="O176" s="113">
        <f t="shared" si="37"/>
        <v>0</v>
      </c>
      <c r="P176" s="113">
        <f t="shared" si="38"/>
        <v>0</v>
      </c>
    </row>
    <row r="177" spans="9:16">
      <c r="I177" s="213"/>
      <c r="J177" s="113">
        <f t="shared" si="34"/>
        <v>0</v>
      </c>
      <c r="K177" s="213"/>
      <c r="L177" s="84"/>
      <c r="M177" s="84"/>
      <c r="N177" s="113">
        <f t="shared" si="33"/>
        <v>0</v>
      </c>
      <c r="O177" s="113">
        <f t="shared" si="37"/>
        <v>0</v>
      </c>
      <c r="P177" s="113">
        <f t="shared" si="38"/>
        <v>0</v>
      </c>
    </row>
    <row r="178" spans="9:16">
      <c r="I178" s="213"/>
      <c r="J178" s="113">
        <f t="shared" si="34"/>
        <v>0</v>
      </c>
      <c r="K178" s="213"/>
      <c r="L178" s="84"/>
      <c r="M178" s="84"/>
      <c r="N178" s="113">
        <f t="shared" si="33"/>
        <v>0</v>
      </c>
      <c r="O178" s="113">
        <f t="shared" si="37"/>
        <v>0</v>
      </c>
      <c r="P178" s="113">
        <f t="shared" si="38"/>
        <v>0</v>
      </c>
    </row>
    <row r="179" spans="9:16">
      <c r="I179" s="213"/>
      <c r="J179" s="113">
        <f t="shared" si="34"/>
        <v>0</v>
      </c>
      <c r="K179" s="213"/>
      <c r="L179" s="84"/>
      <c r="M179" s="84"/>
      <c r="N179" s="113">
        <f t="shared" si="33"/>
        <v>0</v>
      </c>
      <c r="O179" s="113">
        <f t="shared" si="37"/>
        <v>0</v>
      </c>
      <c r="P179" s="113">
        <f t="shared" si="38"/>
        <v>0</v>
      </c>
    </row>
    <row r="180" spans="9:16">
      <c r="I180" s="213"/>
      <c r="J180" s="113">
        <f t="shared" si="34"/>
        <v>0</v>
      </c>
      <c r="K180" s="213"/>
      <c r="L180" s="84"/>
      <c r="M180" s="84"/>
      <c r="N180" s="113">
        <f t="shared" si="33"/>
        <v>0</v>
      </c>
      <c r="O180" s="113">
        <f t="shared" si="37"/>
        <v>0</v>
      </c>
      <c r="P180" s="113">
        <f t="shared" si="38"/>
        <v>0</v>
      </c>
    </row>
    <row r="181" spans="9:16">
      <c r="I181" s="213"/>
      <c r="J181" s="113">
        <f t="shared" si="34"/>
        <v>0</v>
      </c>
      <c r="K181" s="213"/>
      <c r="L181" s="84"/>
      <c r="M181" s="84"/>
      <c r="N181" s="113">
        <f t="shared" si="33"/>
        <v>0</v>
      </c>
      <c r="O181" s="113">
        <f t="shared" si="37"/>
        <v>0</v>
      </c>
      <c r="P181" s="113">
        <f t="shared" si="38"/>
        <v>0</v>
      </c>
    </row>
    <row r="182" spans="9:16">
      <c r="I182" s="213"/>
      <c r="J182" s="113">
        <f t="shared" si="34"/>
        <v>0</v>
      </c>
      <c r="K182" s="213"/>
      <c r="L182" s="84"/>
      <c r="M182" s="84"/>
      <c r="N182" s="113">
        <f t="shared" si="33"/>
        <v>0</v>
      </c>
      <c r="O182" s="113">
        <f t="shared" si="37"/>
        <v>0</v>
      </c>
      <c r="P182" s="113">
        <f t="shared" si="38"/>
        <v>0</v>
      </c>
    </row>
    <row r="183" spans="9:16">
      <c r="I183" s="213"/>
      <c r="J183" s="113">
        <f t="shared" si="34"/>
        <v>0</v>
      </c>
      <c r="K183" s="213"/>
      <c r="L183" s="84"/>
      <c r="M183" s="84"/>
      <c r="N183" s="113">
        <f t="shared" si="33"/>
        <v>0</v>
      </c>
      <c r="O183" s="113">
        <f t="shared" si="37"/>
        <v>0</v>
      </c>
      <c r="P183" s="113">
        <f t="shared" si="38"/>
        <v>0</v>
      </c>
    </row>
    <row r="184" spans="9:16">
      <c r="I184" s="213"/>
      <c r="J184" s="113">
        <f t="shared" si="34"/>
        <v>0</v>
      </c>
      <c r="K184" s="213"/>
      <c r="L184" s="84"/>
      <c r="M184" s="84"/>
      <c r="N184" s="113">
        <f t="shared" si="33"/>
        <v>0</v>
      </c>
      <c r="O184" s="113">
        <f t="shared" si="37"/>
        <v>0</v>
      </c>
      <c r="P184" s="113">
        <f t="shared" si="38"/>
        <v>0</v>
      </c>
    </row>
    <row r="185" spans="9:16">
      <c r="I185" s="213"/>
      <c r="J185" s="113">
        <f t="shared" si="34"/>
        <v>0</v>
      </c>
      <c r="K185" s="213"/>
      <c r="L185" s="84"/>
      <c r="M185" s="84"/>
      <c r="N185" s="113">
        <f t="shared" si="33"/>
        <v>0</v>
      </c>
      <c r="O185" s="113">
        <f t="shared" si="37"/>
        <v>0</v>
      </c>
      <c r="P185" s="113">
        <f t="shared" si="38"/>
        <v>0</v>
      </c>
    </row>
    <row r="186" spans="9:16">
      <c r="I186" s="213"/>
      <c r="J186" s="113">
        <f t="shared" si="34"/>
        <v>0</v>
      </c>
      <c r="K186" s="213"/>
      <c r="L186" s="84"/>
      <c r="M186" s="84"/>
      <c r="N186" s="113">
        <f t="shared" si="33"/>
        <v>0</v>
      </c>
      <c r="O186" s="113">
        <f t="shared" si="37"/>
        <v>0</v>
      </c>
      <c r="P186" s="113">
        <f t="shared" si="38"/>
        <v>0</v>
      </c>
    </row>
    <row r="187" spans="9:16">
      <c r="I187" s="213"/>
      <c r="J187" s="113">
        <f t="shared" si="34"/>
        <v>0</v>
      </c>
      <c r="K187" s="213"/>
      <c r="L187" s="84"/>
      <c r="M187" s="84"/>
      <c r="N187" s="113">
        <f t="shared" si="33"/>
        <v>0</v>
      </c>
      <c r="O187" s="113">
        <f t="shared" si="37"/>
        <v>0</v>
      </c>
      <c r="P187" s="113">
        <f t="shared" si="38"/>
        <v>0</v>
      </c>
    </row>
    <row r="188" spans="9:16">
      <c r="I188" s="213"/>
      <c r="J188" s="113">
        <f t="shared" si="34"/>
        <v>0</v>
      </c>
      <c r="K188" s="213"/>
      <c r="L188" s="84"/>
      <c r="M188" s="84"/>
      <c r="N188" s="113">
        <f t="shared" si="33"/>
        <v>0</v>
      </c>
      <c r="O188" s="113">
        <f t="shared" si="37"/>
        <v>0</v>
      </c>
      <c r="P188" s="113">
        <f t="shared" si="38"/>
        <v>0</v>
      </c>
    </row>
    <row r="189" spans="9:16">
      <c r="I189" s="213"/>
      <c r="J189" s="113">
        <f t="shared" si="34"/>
        <v>0</v>
      </c>
      <c r="K189" s="213"/>
      <c r="L189" s="84"/>
      <c r="M189" s="84"/>
      <c r="N189" s="113">
        <f t="shared" si="33"/>
        <v>0</v>
      </c>
      <c r="O189" s="113">
        <f t="shared" si="37"/>
        <v>0</v>
      </c>
      <c r="P189" s="113">
        <f t="shared" si="38"/>
        <v>0</v>
      </c>
    </row>
    <row r="190" spans="9:16">
      <c r="I190" s="213"/>
      <c r="J190" s="113">
        <f t="shared" si="34"/>
        <v>0</v>
      </c>
      <c r="K190" s="213"/>
      <c r="L190" s="84"/>
      <c r="M190" s="84"/>
      <c r="N190" s="113">
        <f t="shared" si="33"/>
        <v>0</v>
      </c>
      <c r="O190" s="113">
        <f t="shared" si="37"/>
        <v>0</v>
      </c>
      <c r="P190" s="113">
        <f t="shared" si="38"/>
        <v>0</v>
      </c>
    </row>
    <row r="191" spans="9:16">
      <c r="I191" s="213"/>
      <c r="J191" s="113">
        <f t="shared" si="34"/>
        <v>0</v>
      </c>
      <c r="K191" s="213"/>
      <c r="L191" s="84"/>
      <c r="M191" s="84"/>
      <c r="N191" s="113">
        <f t="shared" si="33"/>
        <v>0</v>
      </c>
      <c r="O191" s="113">
        <f t="shared" si="37"/>
        <v>0</v>
      </c>
      <c r="P191" s="113">
        <f t="shared" si="38"/>
        <v>0</v>
      </c>
    </row>
    <row r="192" spans="9:16">
      <c r="I192" s="213"/>
      <c r="J192" s="113">
        <f t="shared" si="34"/>
        <v>0</v>
      </c>
      <c r="K192" s="213"/>
      <c r="L192" s="84"/>
      <c r="M192" s="84"/>
      <c r="N192" s="113">
        <f t="shared" si="33"/>
        <v>0</v>
      </c>
      <c r="O192" s="113">
        <f t="shared" si="37"/>
        <v>0</v>
      </c>
      <c r="P192" s="113">
        <f t="shared" si="38"/>
        <v>0</v>
      </c>
    </row>
    <row r="193" spans="9:16">
      <c r="I193" s="213"/>
      <c r="J193" s="113">
        <f t="shared" si="34"/>
        <v>0</v>
      </c>
      <c r="K193" s="213"/>
      <c r="L193" s="84"/>
      <c r="M193" s="84"/>
      <c r="N193" s="113">
        <f t="shared" si="33"/>
        <v>0</v>
      </c>
      <c r="O193" s="113">
        <f t="shared" si="37"/>
        <v>0</v>
      </c>
      <c r="P193" s="113">
        <f t="shared" si="38"/>
        <v>0</v>
      </c>
    </row>
    <row r="194" spans="9:16">
      <c r="I194" s="213"/>
      <c r="J194" s="113">
        <f t="shared" si="34"/>
        <v>0</v>
      </c>
      <c r="K194" s="213"/>
      <c r="L194" s="84"/>
      <c r="M194" s="84"/>
      <c r="N194" s="113">
        <f t="shared" si="33"/>
        <v>0</v>
      </c>
      <c r="O194" s="113">
        <f t="shared" si="37"/>
        <v>0</v>
      </c>
      <c r="P194" s="113">
        <f t="shared" si="38"/>
        <v>0</v>
      </c>
    </row>
    <row r="195" spans="9:16">
      <c r="I195" s="213"/>
      <c r="J195" s="113">
        <f t="shared" si="34"/>
        <v>0</v>
      </c>
      <c r="K195" s="213"/>
      <c r="L195" s="84"/>
      <c r="M195" s="84"/>
      <c r="N195" s="113">
        <f t="shared" si="33"/>
        <v>0</v>
      </c>
      <c r="O195" s="113">
        <f t="shared" si="37"/>
        <v>0</v>
      </c>
      <c r="P195" s="113">
        <f t="shared" si="38"/>
        <v>0</v>
      </c>
    </row>
    <row r="196" spans="9:16">
      <c r="I196" s="213"/>
      <c r="J196" s="113">
        <f t="shared" si="34"/>
        <v>0</v>
      </c>
      <c r="K196" s="213"/>
      <c r="L196" s="84"/>
      <c r="M196" s="84"/>
      <c r="N196" s="113">
        <f t="shared" si="33"/>
        <v>0</v>
      </c>
      <c r="O196" s="113">
        <f t="shared" si="37"/>
        <v>0</v>
      </c>
      <c r="P196" s="113">
        <f t="shared" si="38"/>
        <v>0</v>
      </c>
    </row>
    <row r="197" spans="9:16">
      <c r="I197" s="213"/>
      <c r="J197" s="113">
        <f t="shared" si="34"/>
        <v>0</v>
      </c>
      <c r="K197" s="213"/>
      <c r="L197" s="84"/>
      <c r="M197" s="84"/>
      <c r="N197" s="113">
        <f t="shared" si="33"/>
        <v>0</v>
      </c>
      <c r="O197" s="113">
        <f t="shared" si="37"/>
        <v>0</v>
      </c>
      <c r="P197" s="113">
        <f t="shared" si="38"/>
        <v>0</v>
      </c>
    </row>
    <row r="198" spans="9:16">
      <c r="I198" s="213"/>
      <c r="J198" s="113">
        <f t="shared" si="34"/>
        <v>0</v>
      </c>
      <c r="K198" s="213"/>
      <c r="L198" s="84"/>
      <c r="M198" s="84"/>
      <c r="N198" s="113">
        <f t="shared" si="33"/>
        <v>0</v>
      </c>
      <c r="O198" s="113">
        <f t="shared" si="37"/>
        <v>0</v>
      </c>
      <c r="P198" s="113">
        <f t="shared" si="38"/>
        <v>0</v>
      </c>
    </row>
    <row r="199" spans="9:16">
      <c r="I199" s="213"/>
      <c r="J199" s="113">
        <f t="shared" si="34"/>
        <v>0</v>
      </c>
      <c r="K199" s="213"/>
      <c r="L199" s="84"/>
      <c r="M199" s="84"/>
      <c r="N199" s="113">
        <f t="shared" si="33"/>
        <v>0</v>
      </c>
      <c r="O199" s="113">
        <f t="shared" si="37"/>
        <v>0</v>
      </c>
      <c r="P199" s="113">
        <f t="shared" si="38"/>
        <v>0</v>
      </c>
    </row>
    <row r="200" spans="9:16">
      <c r="I200" s="213"/>
      <c r="J200" s="113">
        <f t="shared" si="34"/>
        <v>0</v>
      </c>
      <c r="K200" s="213"/>
      <c r="L200" s="84"/>
      <c r="M200" s="84"/>
      <c r="N200" s="113">
        <f t="shared" si="33"/>
        <v>0</v>
      </c>
      <c r="O200" s="113">
        <f t="shared" si="37"/>
        <v>0</v>
      </c>
      <c r="P200" s="113">
        <f t="shared" si="38"/>
        <v>0</v>
      </c>
    </row>
    <row r="201" spans="9:16">
      <c r="I201" s="213"/>
      <c r="J201" s="113">
        <f t="shared" si="34"/>
        <v>0</v>
      </c>
      <c r="K201" s="213"/>
      <c r="L201" s="84"/>
      <c r="M201" s="84"/>
      <c r="N201" s="113">
        <f t="shared" si="33"/>
        <v>0</v>
      </c>
      <c r="O201" s="113">
        <f t="shared" si="37"/>
        <v>0</v>
      </c>
      <c r="P201" s="113">
        <f t="shared" si="38"/>
        <v>0</v>
      </c>
    </row>
    <row r="202" spans="9:16">
      <c r="I202" s="213"/>
      <c r="J202" s="113">
        <f t="shared" si="34"/>
        <v>0</v>
      </c>
      <c r="K202" s="213"/>
      <c r="L202" s="84"/>
      <c r="M202" s="84"/>
      <c r="N202" s="113">
        <f t="shared" si="33"/>
        <v>0</v>
      </c>
      <c r="O202" s="113">
        <f t="shared" si="37"/>
        <v>0</v>
      </c>
      <c r="P202" s="113">
        <f t="shared" si="38"/>
        <v>0</v>
      </c>
    </row>
    <row r="203" spans="9:16">
      <c r="I203" s="213"/>
      <c r="J203" s="113">
        <f t="shared" si="34"/>
        <v>0</v>
      </c>
      <c r="K203" s="213"/>
      <c r="L203" s="84"/>
      <c r="M203" s="84"/>
      <c r="N203" s="113">
        <f t="shared" si="33"/>
        <v>0</v>
      </c>
      <c r="O203" s="113">
        <f t="shared" si="37"/>
        <v>0</v>
      </c>
      <c r="P203" s="113">
        <f t="shared" si="38"/>
        <v>0</v>
      </c>
    </row>
    <row r="204" spans="9:16">
      <c r="I204" s="213"/>
      <c r="J204" s="113">
        <f t="shared" si="34"/>
        <v>0</v>
      </c>
      <c r="K204" s="213">
        <v>0</v>
      </c>
      <c r="L204" s="84">
        <v>0</v>
      </c>
      <c r="M204" s="84">
        <v>0</v>
      </c>
      <c r="N204" s="113">
        <f t="shared" si="33"/>
        <v>0</v>
      </c>
      <c r="O204" s="113">
        <f t="shared" si="37"/>
        <v>0</v>
      </c>
      <c r="P204" s="113">
        <f t="shared" si="38"/>
        <v>0</v>
      </c>
    </row>
    <row r="205" spans="9:16">
      <c r="I205" s="213"/>
      <c r="J205" s="113">
        <f t="shared" si="34"/>
        <v>0</v>
      </c>
      <c r="K205" s="213">
        <v>0</v>
      </c>
      <c r="L205" s="84">
        <v>0</v>
      </c>
      <c r="M205" s="84">
        <v>0</v>
      </c>
      <c r="N205" s="113">
        <f t="shared" si="33"/>
        <v>0</v>
      </c>
      <c r="O205" s="113">
        <f t="shared" si="37"/>
        <v>0</v>
      </c>
      <c r="P205" s="113">
        <f t="shared" si="38"/>
        <v>0</v>
      </c>
    </row>
    <row r="206" spans="9:16">
      <c r="I206" s="213"/>
      <c r="J206" s="113">
        <f t="shared" si="34"/>
        <v>0</v>
      </c>
      <c r="K206" s="213"/>
      <c r="L206" s="84">
        <v>0</v>
      </c>
      <c r="M206" s="84"/>
      <c r="N206" s="213">
        <f t="shared" si="33"/>
        <v>0</v>
      </c>
      <c r="O206" s="113">
        <f t="shared" si="37"/>
        <v>0</v>
      </c>
      <c r="P206" s="113">
        <f t="shared" si="38"/>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4861</v>
      </c>
      <c r="B46" s="113">
        <v>-1073169</v>
      </c>
      <c r="C46" s="99" t="s">
        <v>4862</v>
      </c>
      <c r="D46" s="99">
        <v>4</v>
      </c>
      <c r="E46" s="99">
        <f t="shared" si="6"/>
        <v>22</v>
      </c>
      <c r="F46" s="99">
        <f t="shared" si="7"/>
        <v>0</v>
      </c>
      <c r="G46" s="99">
        <f t="shared" si="8"/>
        <v>-23609718</v>
      </c>
    </row>
    <row r="47" spans="1:14">
      <c r="A47" s="99" t="s">
        <v>4853</v>
      </c>
      <c r="B47" s="113">
        <v>-178820</v>
      </c>
      <c r="C47" s="99" t="s">
        <v>4013</v>
      </c>
      <c r="D47" s="99">
        <v>0</v>
      </c>
      <c r="E47" s="99">
        <f t="shared" si="6"/>
        <v>18</v>
      </c>
      <c r="F47" s="99">
        <f t="shared" si="7"/>
        <v>0</v>
      </c>
      <c r="G47" s="99">
        <f t="shared" si="8"/>
        <v>-3218760</v>
      </c>
      <c r="L47" t="s">
        <v>25</v>
      </c>
    </row>
    <row r="48" spans="1:14">
      <c r="A48" s="99" t="s">
        <v>4853</v>
      </c>
      <c r="B48" s="113">
        <v>-25000</v>
      </c>
      <c r="C48" s="99" t="s">
        <v>751</v>
      </c>
      <c r="D48" s="99">
        <v>4</v>
      </c>
      <c r="E48" s="99">
        <f t="shared" si="6"/>
        <v>18</v>
      </c>
      <c r="F48" s="99">
        <f t="shared" si="7"/>
        <v>0</v>
      </c>
      <c r="G48" s="99">
        <f t="shared" si="8"/>
        <v>-450000</v>
      </c>
      <c r="L48" t="s">
        <v>25</v>
      </c>
    </row>
    <row r="49" spans="1:13">
      <c r="A49" s="99" t="s">
        <v>4866</v>
      </c>
      <c r="B49" s="113">
        <v>-49500</v>
      </c>
      <c r="C49" s="99" t="s">
        <v>452</v>
      </c>
      <c r="D49" s="99">
        <v>2</v>
      </c>
      <c r="E49" s="99">
        <f t="shared" si="6"/>
        <v>14</v>
      </c>
      <c r="F49" s="99">
        <f t="shared" si="7"/>
        <v>0</v>
      </c>
      <c r="G49" s="99">
        <f t="shared" si="8"/>
        <v>-693000</v>
      </c>
    </row>
    <row r="50" spans="1:13">
      <c r="A50" s="99" t="s">
        <v>4869</v>
      </c>
      <c r="B50" s="113">
        <v>-4500</v>
      </c>
      <c r="C50" s="99" t="s">
        <v>452</v>
      </c>
      <c r="D50" s="99">
        <v>1</v>
      </c>
      <c r="E50" s="99">
        <f t="shared" si="6"/>
        <v>12</v>
      </c>
      <c r="F50" s="99">
        <f t="shared" si="7"/>
        <v>0</v>
      </c>
      <c r="G50" s="99">
        <f t="shared" si="8"/>
        <v>-54000</v>
      </c>
    </row>
    <row r="51" spans="1:13">
      <c r="A51" s="99" t="s">
        <v>4870</v>
      </c>
      <c r="B51" s="113">
        <v>-328000</v>
      </c>
      <c r="C51" s="99" t="s">
        <v>452</v>
      </c>
      <c r="D51" s="99">
        <v>4</v>
      </c>
      <c r="E51" s="99">
        <f t="shared" ref="E51:E61" si="9">E52+D51</f>
        <v>11</v>
      </c>
      <c r="F51" s="99">
        <f t="shared" ref="F51:F61" si="10">IF(B51&gt;0,1,0)</f>
        <v>0</v>
      </c>
      <c r="G51" s="99">
        <f t="shared" ref="G51:G61" si="11">B51*(E51-F51)</f>
        <v>-3608000</v>
      </c>
    </row>
    <row r="52" spans="1:13">
      <c r="A52" s="99" t="s">
        <v>4874</v>
      </c>
      <c r="B52" s="113">
        <v>-195330</v>
      </c>
      <c r="C52" s="99" t="s">
        <v>4880</v>
      </c>
      <c r="D52" s="99">
        <v>1</v>
      </c>
      <c r="E52" s="99">
        <f t="shared" si="9"/>
        <v>7</v>
      </c>
      <c r="F52" s="99">
        <f t="shared" si="10"/>
        <v>0</v>
      </c>
      <c r="G52" s="99">
        <f t="shared" si="11"/>
        <v>-1367310</v>
      </c>
    </row>
    <row r="53" spans="1:13">
      <c r="A53" s="99" t="s">
        <v>4883</v>
      </c>
      <c r="B53" s="113">
        <v>-140730</v>
      </c>
      <c r="C53" s="99" t="s">
        <v>4887</v>
      </c>
      <c r="D53" s="99">
        <v>1</v>
      </c>
      <c r="E53" s="99">
        <f t="shared" si="9"/>
        <v>6</v>
      </c>
      <c r="F53" s="99">
        <f t="shared" si="10"/>
        <v>0</v>
      </c>
      <c r="G53" s="99">
        <f t="shared" si="11"/>
        <v>-844380</v>
      </c>
    </row>
    <row r="54" spans="1:13">
      <c r="A54" s="99" t="s">
        <v>4885</v>
      </c>
      <c r="B54" s="113">
        <v>-4200</v>
      </c>
      <c r="C54" s="99" t="s">
        <v>1069</v>
      </c>
      <c r="D54" s="99">
        <v>0</v>
      </c>
      <c r="E54" s="99">
        <f t="shared" si="9"/>
        <v>5</v>
      </c>
      <c r="F54" s="99">
        <f t="shared" si="10"/>
        <v>0</v>
      </c>
      <c r="G54" s="99">
        <f t="shared" si="11"/>
        <v>-21000</v>
      </c>
    </row>
    <row r="55" spans="1:13">
      <c r="A55" s="99" t="s">
        <v>4885</v>
      </c>
      <c r="B55" s="113">
        <v>-66567</v>
      </c>
      <c r="C55" s="99" t="s">
        <v>4013</v>
      </c>
      <c r="D55" s="99">
        <v>4</v>
      </c>
      <c r="E55" s="99">
        <f t="shared" si="9"/>
        <v>5</v>
      </c>
      <c r="F55" s="99">
        <f t="shared" si="10"/>
        <v>0</v>
      </c>
      <c r="G55" s="99">
        <f t="shared" si="11"/>
        <v>-332835</v>
      </c>
    </row>
    <row r="56" spans="1:13">
      <c r="A56" s="99" t="s">
        <v>4889</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abSelected="1" zoomScaleNormal="100" workbookViewId="0">
      <selection activeCell="C14" sqref="C14"/>
    </sheetView>
  </sheetViews>
  <sheetFormatPr defaultRowHeight="15"/>
  <cols>
    <col min="1" max="1" width="15.42578125" bestFit="1" customWidth="1"/>
    <col min="2" max="2" width="16.140625" bestFit="1" customWidth="1"/>
    <col min="3" max="4" width="16.140625" style="96" customWidth="1"/>
    <col min="5" max="5" width="14.140625" bestFit="1" customWidth="1"/>
    <col min="6" max="6" width="16.140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99" t="s">
        <v>4927</v>
      </c>
      <c r="B1" s="99" t="s">
        <v>4928</v>
      </c>
      <c r="C1" s="149" t="s">
        <v>5174</v>
      </c>
      <c r="D1" s="149" t="s">
        <v>5175</v>
      </c>
      <c r="E1" s="99" t="s">
        <v>5172</v>
      </c>
      <c r="F1" s="99" t="s">
        <v>5173</v>
      </c>
      <c r="G1" s="99" t="s">
        <v>4938</v>
      </c>
      <c r="H1" s="99" t="s">
        <v>4937</v>
      </c>
      <c r="I1" s="99" t="s">
        <v>4271</v>
      </c>
      <c r="J1" s="69" t="s">
        <v>5050</v>
      </c>
      <c r="M1" t="s">
        <v>4930</v>
      </c>
      <c r="N1" t="s">
        <v>4934</v>
      </c>
      <c r="O1" t="s">
        <v>4935</v>
      </c>
    </row>
    <row r="2" spans="1:20">
      <c r="A2" s="118" t="s">
        <v>4929</v>
      </c>
      <c r="B2" s="118">
        <v>1120643604</v>
      </c>
      <c r="C2" s="149">
        <v>1400</v>
      </c>
      <c r="D2" s="149">
        <f>B2*C2/$M$2</f>
        <v>21.790292300000001</v>
      </c>
      <c r="E2" s="118">
        <v>930</v>
      </c>
      <c r="F2" s="118">
        <f>B2*E2/$M$2</f>
        <v>14.474979885</v>
      </c>
      <c r="G2" s="118"/>
      <c r="H2" s="118"/>
      <c r="I2" s="118">
        <v>4050</v>
      </c>
      <c r="J2" s="118">
        <f>B2*I2/$M$2</f>
        <v>63.036202725000003</v>
      </c>
      <c r="M2">
        <v>72000000000</v>
      </c>
      <c r="N2">
        <v>27308458109</v>
      </c>
      <c r="O2">
        <v>40500000000</v>
      </c>
    </row>
    <row r="3" spans="1:20">
      <c r="A3" s="146" t="s">
        <v>4931</v>
      </c>
      <c r="B3" s="146">
        <v>2605736250</v>
      </c>
      <c r="C3" s="149">
        <v>150</v>
      </c>
      <c r="D3" s="149">
        <f t="shared" ref="D3:D5" si="0">B3*C3/$M$2</f>
        <v>5.4286171875000004</v>
      </c>
      <c r="E3" s="146">
        <v>80</v>
      </c>
      <c r="F3" s="146">
        <f>B3*E3/$M$2</f>
        <v>2.8952624999999999</v>
      </c>
      <c r="G3" s="146"/>
      <c r="H3" s="146"/>
      <c r="I3" s="146">
        <v>1780</v>
      </c>
      <c r="J3" s="146">
        <f>B3*I3/$M$2</f>
        <v>64.419590624999998</v>
      </c>
      <c r="N3">
        <f>N2/O2</f>
        <v>0.67428291627160497</v>
      </c>
    </row>
    <row r="4" spans="1:20">
      <c r="A4" s="146" t="s">
        <v>4932</v>
      </c>
      <c r="B4" s="146">
        <v>560000000</v>
      </c>
      <c r="C4" s="149">
        <v>30</v>
      </c>
      <c r="D4" s="149">
        <f t="shared" si="0"/>
        <v>0.23333333333333334</v>
      </c>
      <c r="E4" s="146">
        <v>25</v>
      </c>
      <c r="F4" s="146">
        <f>B4*E4/$M$2</f>
        <v>0.19444444444444445</v>
      </c>
      <c r="G4" s="146"/>
      <c r="H4" s="146"/>
      <c r="I4" s="146">
        <v>230</v>
      </c>
      <c r="J4" s="146">
        <f>B4*I4/$M$2</f>
        <v>1.788888888888889</v>
      </c>
    </row>
    <row r="5" spans="1:20">
      <c r="A5" s="146" t="s">
        <v>4933</v>
      </c>
      <c r="B5" s="146">
        <v>15161250</v>
      </c>
      <c r="C5" s="149">
        <v>300</v>
      </c>
      <c r="D5" s="149">
        <f t="shared" si="0"/>
        <v>6.3171875000000002E-2</v>
      </c>
      <c r="E5" s="146">
        <v>170</v>
      </c>
      <c r="F5" s="146">
        <f>B5*E5/$M$2</f>
        <v>3.5797395833333336E-2</v>
      </c>
      <c r="G5" s="146"/>
      <c r="H5" s="146"/>
      <c r="I5" s="146">
        <v>1495</v>
      </c>
      <c r="J5" s="146">
        <f>B5*I5/$M$2</f>
        <v>0.31480651041666668</v>
      </c>
    </row>
    <row r="6" spans="1:20">
      <c r="A6" s="23"/>
      <c r="B6" s="23"/>
      <c r="C6" s="23"/>
      <c r="D6" s="23"/>
      <c r="E6" s="23"/>
      <c r="F6" s="23">
        <f>B6*E6/$M$2</f>
        <v>0</v>
      </c>
      <c r="G6" s="23"/>
      <c r="H6" s="23"/>
      <c r="I6" s="23"/>
      <c r="J6" s="99"/>
    </row>
    <row r="7" spans="1:20">
      <c r="A7" s="118" t="s">
        <v>4929</v>
      </c>
      <c r="B7" s="118">
        <v>1124709340</v>
      </c>
      <c r="C7" s="149">
        <f>C2</f>
        <v>1400</v>
      </c>
      <c r="D7" s="149">
        <f>B7*C7*$N$3/$M$2</f>
        <v>14.746127933699402</v>
      </c>
      <c r="E7" s="118">
        <f>E2</f>
        <v>930</v>
      </c>
      <c r="F7" s="118">
        <f t="shared" ref="F7:F19" si="1">B7*E7*$N$3/$M$2</f>
        <v>9.7956421273860297</v>
      </c>
      <c r="G7" s="118">
        <v>0</v>
      </c>
      <c r="H7" s="118">
        <f t="shared" ref="H7:H19" si="2">B7*G7*$N$3/$M$2</f>
        <v>0</v>
      </c>
      <c r="I7" s="118">
        <f>I2</f>
        <v>4050</v>
      </c>
      <c r="J7" s="118">
        <f t="shared" ref="J7:J15" si="3">B7*I7*$N$3/$M$2</f>
        <v>42.658441522487557</v>
      </c>
    </row>
    <row r="8" spans="1:20">
      <c r="A8" s="146" t="s">
        <v>4936</v>
      </c>
      <c r="B8" s="146">
        <v>555409765</v>
      </c>
      <c r="C8" s="149">
        <v>300</v>
      </c>
      <c r="D8" s="149">
        <f t="shared" ref="D8:D15" si="4">B8*C8*$N$3/$M$2</f>
        <v>1.5604304836246949</v>
      </c>
      <c r="E8" s="146">
        <v>250</v>
      </c>
      <c r="F8" s="146">
        <f t="shared" si="1"/>
        <v>1.3003587363539126</v>
      </c>
      <c r="G8" s="146">
        <v>300</v>
      </c>
      <c r="H8" s="146">
        <f t="shared" si="2"/>
        <v>1.5604304836246949</v>
      </c>
      <c r="I8" s="146">
        <v>4114</v>
      </c>
      <c r="J8" s="146">
        <f t="shared" si="3"/>
        <v>21.398703365439982</v>
      </c>
    </row>
    <row r="9" spans="1:20">
      <c r="A9" s="146" t="s">
        <v>4933</v>
      </c>
      <c r="B9" s="146">
        <v>2103087537</v>
      </c>
      <c r="C9" s="149">
        <v>300</v>
      </c>
      <c r="D9" s="149">
        <f t="shared" si="4"/>
        <v>5.9086499900951122</v>
      </c>
      <c r="E9" s="146">
        <v>170</v>
      </c>
      <c r="F9" s="146">
        <f t="shared" si="1"/>
        <v>3.3482349943872305</v>
      </c>
      <c r="G9" s="146"/>
      <c r="H9" s="146">
        <f t="shared" si="2"/>
        <v>0</v>
      </c>
      <c r="I9" s="146">
        <f>I5</f>
        <v>1495</v>
      </c>
      <c r="J9" s="146">
        <f t="shared" si="3"/>
        <v>29.444772450640642</v>
      </c>
      <c r="L9" t="s">
        <v>25</v>
      </c>
    </row>
    <row r="10" spans="1:20">
      <c r="A10" s="99" t="s">
        <v>4939</v>
      </c>
      <c r="B10" s="99">
        <v>4123527587</v>
      </c>
      <c r="C10" s="149">
        <v>500</v>
      </c>
      <c r="D10" s="149">
        <f t="shared" si="4"/>
        <v>19.308501435338712</v>
      </c>
      <c r="E10" s="99">
        <v>400</v>
      </c>
      <c r="F10" s="99">
        <f t="shared" si="1"/>
        <v>15.44680114827097</v>
      </c>
      <c r="G10" s="99"/>
      <c r="H10" s="99">
        <f t="shared" si="2"/>
        <v>0</v>
      </c>
      <c r="I10" s="99">
        <v>2160</v>
      </c>
      <c r="J10" s="99">
        <f t="shared" si="3"/>
        <v>83.412726200663229</v>
      </c>
    </row>
    <row r="11" spans="1:20">
      <c r="A11" s="271" t="s">
        <v>4940</v>
      </c>
      <c r="B11" s="271">
        <v>2635379034</v>
      </c>
      <c r="C11" s="149">
        <v>300</v>
      </c>
      <c r="D11" s="149">
        <f t="shared" si="4"/>
        <v>7.4041294188606885</v>
      </c>
      <c r="E11" s="271">
        <v>0</v>
      </c>
      <c r="F11" s="271">
        <f t="shared" si="1"/>
        <v>0</v>
      </c>
      <c r="G11" s="271"/>
      <c r="H11" s="271">
        <f t="shared" si="2"/>
        <v>0</v>
      </c>
      <c r="I11" s="271">
        <v>930</v>
      </c>
      <c r="J11" s="271">
        <f t="shared" si="3"/>
        <v>22.952801198468133</v>
      </c>
    </row>
    <row r="12" spans="1:20">
      <c r="A12" s="146" t="s">
        <v>4941</v>
      </c>
      <c r="B12" s="146">
        <v>1886721602</v>
      </c>
      <c r="C12" s="149">
        <v>300</v>
      </c>
      <c r="D12" s="149">
        <f t="shared" si="4"/>
        <v>5.3007672666216434</v>
      </c>
      <c r="E12" s="146">
        <v>240</v>
      </c>
      <c r="F12" s="146">
        <f t="shared" si="1"/>
        <v>4.2406138132973146</v>
      </c>
      <c r="G12" s="146"/>
      <c r="H12" s="146">
        <f t="shared" si="2"/>
        <v>0</v>
      </c>
      <c r="I12" s="146">
        <v>2622</v>
      </c>
      <c r="J12" s="146">
        <f t="shared" si="3"/>
        <v>46.328705910273158</v>
      </c>
      <c r="O12" t="s">
        <v>5028</v>
      </c>
    </row>
    <row r="13" spans="1:20">
      <c r="A13" s="146" t="s">
        <v>4942</v>
      </c>
      <c r="B13" s="146">
        <v>1630533748</v>
      </c>
      <c r="C13" s="149">
        <v>70</v>
      </c>
      <c r="D13" s="149">
        <f t="shared" si="4"/>
        <v>1.0689010214951349</v>
      </c>
      <c r="E13" s="146">
        <v>60</v>
      </c>
      <c r="F13" s="146">
        <f t="shared" si="1"/>
        <v>0.91620087556725849</v>
      </c>
      <c r="G13" s="146"/>
      <c r="H13" s="146">
        <f t="shared" si="2"/>
        <v>0</v>
      </c>
      <c r="I13" s="146">
        <v>860</v>
      </c>
      <c r="J13" s="146">
        <f t="shared" si="3"/>
        <v>13.132212549797371</v>
      </c>
      <c r="O13" s="99" t="s">
        <v>180</v>
      </c>
      <c r="P13" s="99" t="s">
        <v>267</v>
      </c>
      <c r="Q13" s="99" t="s">
        <v>5026</v>
      </c>
      <c r="R13" s="99"/>
      <c r="S13" s="99"/>
      <c r="T13" s="99"/>
    </row>
    <row r="14" spans="1:20">
      <c r="A14" s="146" t="s">
        <v>4392</v>
      </c>
      <c r="B14" s="146">
        <v>813533684</v>
      </c>
      <c r="C14" s="149">
        <v>2000</v>
      </c>
      <c r="D14" s="149">
        <f t="shared" si="4"/>
        <v>15.237551803686175</v>
      </c>
      <c r="E14" s="146">
        <v>1460</v>
      </c>
      <c r="F14" s="146">
        <f t="shared" si="1"/>
        <v>11.123412816690907</v>
      </c>
      <c r="G14" s="146"/>
      <c r="H14" s="146">
        <f t="shared" si="2"/>
        <v>0</v>
      </c>
      <c r="I14" s="146">
        <v>6130</v>
      </c>
      <c r="J14" s="146">
        <f t="shared" si="3"/>
        <v>46.703096278298126</v>
      </c>
      <c r="O14" s="99" t="s">
        <v>5018</v>
      </c>
      <c r="P14" s="18">
        <v>7500000</v>
      </c>
      <c r="Q14" s="99">
        <v>4</v>
      </c>
      <c r="R14" s="99"/>
      <c r="S14" s="99"/>
      <c r="T14" s="99"/>
    </row>
    <row r="15" spans="1:20">
      <c r="A15" s="146" t="s">
        <v>4943</v>
      </c>
      <c r="B15" s="146">
        <v>236958025</v>
      </c>
      <c r="C15" s="149">
        <v>300</v>
      </c>
      <c r="D15" s="149">
        <f t="shared" si="4"/>
        <v>0.66573645054566621</v>
      </c>
      <c r="E15" s="146">
        <v>270</v>
      </c>
      <c r="F15" s="146">
        <f t="shared" si="1"/>
        <v>0.59916280549109957</v>
      </c>
      <c r="G15" s="146"/>
      <c r="H15" s="146">
        <f t="shared" si="2"/>
        <v>0</v>
      </c>
      <c r="I15" s="146">
        <v>1680</v>
      </c>
      <c r="J15" s="146">
        <f t="shared" si="3"/>
        <v>3.7281241230557307</v>
      </c>
      <c r="O15" s="99" t="s">
        <v>5025</v>
      </c>
      <c r="P15" s="18">
        <v>-500000</v>
      </c>
      <c r="Q15" s="99">
        <v>7</v>
      </c>
      <c r="R15" s="99"/>
      <c r="S15" s="99"/>
      <c r="T15" s="99"/>
    </row>
    <row r="16" spans="1:20">
      <c r="A16" s="99"/>
      <c r="B16" s="99"/>
      <c r="C16" s="99"/>
      <c r="D16" s="99"/>
      <c r="E16" s="99"/>
      <c r="F16" s="99">
        <f t="shared" si="1"/>
        <v>0</v>
      </c>
      <c r="G16" s="99"/>
      <c r="H16" s="99">
        <f t="shared" si="2"/>
        <v>0</v>
      </c>
      <c r="I16" s="99"/>
      <c r="J16" s="99"/>
      <c r="O16" s="99" t="s">
        <v>5036</v>
      </c>
      <c r="P16" s="18">
        <v>-7000000</v>
      </c>
      <c r="Q16" s="99">
        <v>1</v>
      </c>
      <c r="R16" s="99"/>
      <c r="S16" s="99"/>
      <c r="T16" s="99"/>
    </row>
    <row r="17" spans="1:22">
      <c r="A17" s="99"/>
      <c r="B17" s="99"/>
      <c r="C17" s="99"/>
      <c r="D17" s="99" t="s">
        <v>25</v>
      </c>
      <c r="E17" s="99"/>
      <c r="F17" s="99">
        <f t="shared" si="1"/>
        <v>0</v>
      </c>
      <c r="G17" s="99"/>
      <c r="H17" s="99">
        <f t="shared" si="2"/>
        <v>0</v>
      </c>
      <c r="I17" s="99"/>
      <c r="J17" s="99"/>
      <c r="O17" s="99" t="s">
        <v>5044</v>
      </c>
      <c r="P17" s="18">
        <v>2000000</v>
      </c>
      <c r="Q17" s="99">
        <v>6</v>
      </c>
      <c r="R17" s="99"/>
      <c r="S17" s="99"/>
      <c r="T17" s="99"/>
    </row>
    <row r="18" spans="1:22">
      <c r="A18" s="99"/>
      <c r="B18" s="99"/>
      <c r="C18" s="99"/>
      <c r="D18" s="99"/>
      <c r="E18" s="99"/>
      <c r="F18" s="99">
        <f t="shared" si="1"/>
        <v>0</v>
      </c>
      <c r="G18" s="99"/>
      <c r="H18" s="99">
        <f t="shared" si="2"/>
        <v>0</v>
      </c>
      <c r="I18" s="99"/>
      <c r="J18" s="99"/>
      <c r="O18" s="99" t="s">
        <v>5062</v>
      </c>
      <c r="P18" s="18">
        <v>1000000</v>
      </c>
      <c r="Q18" s="99">
        <v>3</v>
      </c>
      <c r="R18" s="99"/>
      <c r="S18" s="99"/>
      <c r="T18" s="99"/>
    </row>
    <row r="19" spans="1:22">
      <c r="A19" s="99"/>
      <c r="B19" s="99"/>
      <c r="C19" s="99"/>
      <c r="D19" s="99"/>
      <c r="E19" s="99"/>
      <c r="F19" s="99">
        <f t="shared" si="1"/>
        <v>0</v>
      </c>
      <c r="G19" s="99"/>
      <c r="H19" s="99">
        <f t="shared" si="2"/>
        <v>0</v>
      </c>
      <c r="I19" s="99"/>
      <c r="J19" s="99"/>
      <c r="O19" s="99" t="s">
        <v>5077</v>
      </c>
      <c r="P19" s="18">
        <v>200000</v>
      </c>
      <c r="Q19" s="99">
        <v>3</v>
      </c>
      <c r="R19" s="99"/>
      <c r="S19" s="99"/>
      <c r="T19" s="99"/>
    </row>
    <row r="20" spans="1:22">
      <c r="A20" s="99"/>
      <c r="B20" s="99"/>
      <c r="C20" s="99"/>
      <c r="D20" s="99"/>
      <c r="E20" s="99"/>
      <c r="F20" s="99"/>
      <c r="G20" s="99"/>
      <c r="H20" s="99"/>
      <c r="I20" s="99"/>
      <c r="J20" s="99"/>
      <c r="L20" t="s">
        <v>25</v>
      </c>
      <c r="O20" s="99" t="s">
        <v>5080</v>
      </c>
      <c r="P20" s="18">
        <v>-3200000</v>
      </c>
      <c r="Q20" s="99">
        <v>6</v>
      </c>
      <c r="R20" s="99"/>
      <c r="S20" s="99"/>
      <c r="T20" s="99"/>
    </row>
    <row r="21" spans="1:22">
      <c r="A21" s="99"/>
      <c r="B21" s="99"/>
      <c r="C21" s="99"/>
      <c r="D21" s="99">
        <f>SUM(D2:D15)</f>
        <v>98.716210499800567</v>
      </c>
      <c r="E21" s="99"/>
      <c r="F21" s="99">
        <f>SUM(F2:F15)</f>
        <v>64.37091154272251</v>
      </c>
      <c r="G21" s="99"/>
      <c r="H21" s="99"/>
      <c r="I21" s="99"/>
      <c r="J21" s="99">
        <f>SUM(J2:J19)</f>
        <v>439.31907234842953</v>
      </c>
      <c r="K21">
        <f>J21*0.8</f>
        <v>351.45525787874362</v>
      </c>
      <c r="O21" s="99" t="s">
        <v>5096</v>
      </c>
      <c r="P21" s="18">
        <v>6000000</v>
      </c>
      <c r="Q21" s="99">
        <v>1</v>
      </c>
      <c r="R21" s="99"/>
      <c r="S21" s="99"/>
      <c r="T21" s="99"/>
    </row>
    <row r="22" spans="1:22">
      <c r="A22" s="99"/>
      <c r="B22" s="99"/>
      <c r="C22" s="99"/>
      <c r="D22" s="99"/>
      <c r="E22" s="99"/>
      <c r="F22" s="99"/>
      <c r="G22" s="99"/>
      <c r="H22" s="99"/>
      <c r="I22" s="99"/>
      <c r="J22" s="99"/>
      <c r="O22" s="99" t="s">
        <v>5097</v>
      </c>
      <c r="P22" s="18">
        <v>2000000</v>
      </c>
      <c r="Q22" s="99">
        <v>3</v>
      </c>
      <c r="R22" s="99"/>
      <c r="S22" s="99"/>
      <c r="T22" s="99"/>
    </row>
    <row r="23" spans="1:22">
      <c r="A23" s="99"/>
      <c r="B23" s="99"/>
      <c r="C23" s="99"/>
      <c r="D23" s="99"/>
      <c r="E23" s="99"/>
      <c r="F23" s="99"/>
      <c r="G23" s="99"/>
      <c r="H23" s="99"/>
      <c r="I23" s="99"/>
      <c r="J23" s="99"/>
      <c r="O23" s="99" t="s">
        <v>5111</v>
      </c>
      <c r="P23" s="18">
        <v>-50000</v>
      </c>
      <c r="Q23" s="99">
        <v>7</v>
      </c>
      <c r="R23" s="99"/>
      <c r="S23" s="99"/>
      <c r="T23" s="99"/>
    </row>
    <row r="24" spans="1:22">
      <c r="A24" s="99"/>
      <c r="B24" s="99"/>
      <c r="C24" s="99"/>
      <c r="D24" s="99"/>
      <c r="E24" s="99"/>
      <c r="F24" s="99"/>
      <c r="G24" s="99"/>
      <c r="H24" s="99"/>
      <c r="I24" s="99"/>
      <c r="J24" s="99"/>
      <c r="O24" s="99" t="s">
        <v>5118</v>
      </c>
      <c r="P24" s="18">
        <v>-2480000</v>
      </c>
      <c r="Q24" s="99">
        <v>5</v>
      </c>
      <c r="R24" s="99"/>
      <c r="S24" s="99"/>
      <c r="T24" s="99"/>
      <c r="V24" t="s">
        <v>25</v>
      </c>
    </row>
    <row r="25" spans="1:22">
      <c r="J25">
        <v>250</v>
      </c>
      <c r="K25">
        <f>J25/J21</f>
        <v>0.56906247812915767</v>
      </c>
      <c r="O25" s="99" t="s">
        <v>5129</v>
      </c>
      <c r="P25" s="18">
        <v>300000</v>
      </c>
      <c r="Q25" s="99">
        <v>1</v>
      </c>
      <c r="R25" s="99"/>
      <c r="S25" s="99"/>
      <c r="T25" s="99"/>
    </row>
    <row r="26" spans="1:22">
      <c r="O26" s="99" t="s">
        <v>4235</v>
      </c>
      <c r="P26" s="18">
        <v>300000</v>
      </c>
      <c r="Q26" s="99">
        <v>6</v>
      </c>
      <c r="R26" s="99"/>
      <c r="S26" s="99"/>
      <c r="T26" s="99"/>
    </row>
    <row r="27" spans="1:22">
      <c r="O27" s="99" t="s">
        <v>5148</v>
      </c>
      <c r="P27" s="18">
        <v>500000</v>
      </c>
      <c r="Q27" s="99">
        <v>2</v>
      </c>
      <c r="R27" s="99"/>
      <c r="S27" s="99"/>
      <c r="T27" s="99"/>
    </row>
    <row r="28" spans="1:22">
      <c r="O28" s="99" t="s">
        <v>5159</v>
      </c>
      <c r="P28" s="18">
        <v>100000</v>
      </c>
      <c r="Q28" s="99">
        <v>1</v>
      </c>
      <c r="R28" s="99"/>
      <c r="S28" s="99"/>
      <c r="T28" s="99"/>
    </row>
    <row r="29" spans="1:22">
      <c r="O29" s="99" t="s">
        <v>5160</v>
      </c>
      <c r="P29" s="18">
        <v>-6423626</v>
      </c>
      <c r="Q29" s="99">
        <v>1</v>
      </c>
      <c r="R29" s="99"/>
      <c r="S29" s="99"/>
      <c r="T29" s="99"/>
    </row>
    <row r="30" spans="1:22">
      <c r="B30" s="96"/>
      <c r="E30" s="96"/>
      <c r="F30" s="96"/>
      <c r="O30" s="99" t="s">
        <v>5165</v>
      </c>
      <c r="P30" s="18">
        <v>-4592486</v>
      </c>
      <c r="Q30" s="99">
        <v>0</v>
      </c>
      <c r="R30" s="99"/>
      <c r="S30" s="99"/>
      <c r="T30" s="99"/>
    </row>
    <row r="31" spans="1:22">
      <c r="B31" s="96"/>
      <c r="E31" s="96"/>
      <c r="F31" s="96"/>
      <c r="O31" s="99" t="s">
        <v>5165</v>
      </c>
      <c r="P31" s="18">
        <v>4346112</v>
      </c>
      <c r="Q31" s="99">
        <v>11</v>
      </c>
      <c r="R31" s="99"/>
      <c r="S31" s="99"/>
      <c r="T31" s="99"/>
    </row>
    <row r="32" spans="1:22">
      <c r="B32" s="96"/>
      <c r="E32" s="96"/>
      <c r="F32" s="96"/>
      <c r="O32" s="99" t="s">
        <v>5193</v>
      </c>
      <c r="P32" s="18">
        <v>1500000</v>
      </c>
      <c r="Q32" s="99">
        <v>1</v>
      </c>
      <c r="R32" s="99"/>
      <c r="S32" s="99"/>
      <c r="T32" s="99"/>
    </row>
    <row r="33" spans="1:22">
      <c r="A33" s="96"/>
      <c r="B33" s="96"/>
      <c r="E33" s="96"/>
      <c r="F33" s="96"/>
      <c r="O33" s="99"/>
      <c r="P33" s="18"/>
      <c r="Q33" s="99"/>
      <c r="R33" s="99"/>
      <c r="S33" s="99"/>
      <c r="T33" s="99"/>
    </row>
    <row r="34" spans="1:22">
      <c r="A34" s="96"/>
      <c r="B34" s="96"/>
      <c r="E34" s="96"/>
      <c r="F34" s="96"/>
      <c r="O34" s="99"/>
      <c r="P34" s="18"/>
      <c r="Q34" s="99"/>
      <c r="R34" s="99"/>
      <c r="S34" s="99"/>
      <c r="T34" s="99"/>
    </row>
    <row r="35" spans="1:22">
      <c r="A35" s="96"/>
      <c r="B35" s="96"/>
      <c r="E35" s="96"/>
      <c r="F35" s="96"/>
      <c r="O35" s="99"/>
      <c r="P35" s="18">
        <f>SUM(P14:P34)</f>
        <v>1500000</v>
      </c>
      <c r="Q35" s="99"/>
      <c r="R35" s="99"/>
      <c r="S35" s="99"/>
      <c r="T35" s="99"/>
    </row>
    <row r="36" spans="1:22">
      <c r="A36" s="96"/>
      <c r="B36" s="96"/>
      <c r="E36" s="96"/>
      <c r="F36" s="96"/>
      <c r="N36" t="s">
        <v>25</v>
      </c>
      <c r="P36" t="s">
        <v>5027</v>
      </c>
      <c r="V36" t="s">
        <v>25</v>
      </c>
    </row>
    <row r="37" spans="1:22">
      <c r="A37" s="96"/>
      <c r="B37" s="96"/>
      <c r="E37" s="96"/>
      <c r="F37" s="96"/>
    </row>
    <row r="38" spans="1:22">
      <c r="A38" s="96"/>
      <c r="B38" s="96"/>
      <c r="E38" s="96"/>
      <c r="F38" s="96"/>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4908</v>
      </c>
      <c r="E1" t="s">
        <v>4909</v>
      </c>
      <c r="F1" t="s">
        <v>8</v>
      </c>
    </row>
    <row r="2" spans="1:6">
      <c r="A2" t="s">
        <v>4912</v>
      </c>
      <c r="B2">
        <v>237</v>
      </c>
      <c r="C2">
        <v>281</v>
      </c>
      <c r="D2">
        <f>B2/C2</f>
        <v>0.84341637010676151</v>
      </c>
      <c r="E2" t="s">
        <v>4913</v>
      </c>
      <c r="F2" t="s">
        <v>4914</v>
      </c>
    </row>
    <row r="3" spans="1:6">
      <c r="A3" t="s">
        <v>4532</v>
      </c>
      <c r="B3">
        <v>134</v>
      </c>
      <c r="C3">
        <v>193</v>
      </c>
      <c r="D3" s="96">
        <f t="shared" ref="D3:D21" si="0">B3/C3</f>
        <v>0.69430051813471505</v>
      </c>
      <c r="E3" t="s">
        <v>4913</v>
      </c>
      <c r="F3" s="96" t="s">
        <v>4914</v>
      </c>
    </row>
    <row r="4" spans="1:6">
      <c r="A4" t="s">
        <v>4915</v>
      </c>
      <c r="B4">
        <v>195</v>
      </c>
      <c r="C4">
        <v>73</v>
      </c>
      <c r="D4" s="96">
        <f t="shared" si="0"/>
        <v>2.6712328767123288</v>
      </c>
      <c r="E4" t="s">
        <v>4916</v>
      </c>
      <c r="F4" t="s">
        <v>4917</v>
      </c>
    </row>
    <row r="5" spans="1:6">
      <c r="A5" t="s">
        <v>4918</v>
      </c>
      <c r="B5">
        <v>1</v>
      </c>
      <c r="C5">
        <v>1</v>
      </c>
      <c r="D5" s="96">
        <f t="shared" si="0"/>
        <v>1</v>
      </c>
      <c r="E5" t="s">
        <v>4916</v>
      </c>
      <c r="F5" t="s">
        <v>4919</v>
      </c>
    </row>
    <row r="6" spans="1:6">
      <c r="A6" t="s">
        <v>4573</v>
      </c>
      <c r="B6">
        <v>163</v>
      </c>
      <c r="C6">
        <v>232</v>
      </c>
      <c r="D6" s="96">
        <f t="shared" si="0"/>
        <v>0.70258620689655171</v>
      </c>
      <c r="F6" s="96" t="s">
        <v>4914</v>
      </c>
    </row>
    <row r="7" spans="1:6">
      <c r="A7" t="s">
        <v>4920</v>
      </c>
      <c r="B7">
        <v>247</v>
      </c>
      <c r="C7">
        <v>250</v>
      </c>
      <c r="D7" s="96">
        <f t="shared" si="0"/>
        <v>0.98799999999999999</v>
      </c>
    </row>
    <row r="8" spans="1:6">
      <c r="A8" t="s">
        <v>4921</v>
      </c>
      <c r="B8">
        <v>335</v>
      </c>
      <c r="C8">
        <v>141</v>
      </c>
      <c r="D8" s="96">
        <f t="shared" si="0"/>
        <v>2.375886524822695</v>
      </c>
      <c r="F8" s="96" t="s">
        <v>4919</v>
      </c>
    </row>
    <row r="9" spans="1:6">
      <c r="A9" t="s">
        <v>4801</v>
      </c>
      <c r="B9">
        <v>150</v>
      </c>
      <c r="C9">
        <v>240</v>
      </c>
      <c r="D9" s="96">
        <f t="shared" si="0"/>
        <v>0.625</v>
      </c>
      <c r="F9" t="s">
        <v>4922</v>
      </c>
    </row>
    <row r="10" spans="1:6">
      <c r="A10" t="s">
        <v>4923</v>
      </c>
      <c r="B10">
        <v>187</v>
      </c>
      <c r="C10">
        <v>208</v>
      </c>
      <c r="D10" s="96">
        <f t="shared" si="0"/>
        <v>0.89903846153846156</v>
      </c>
      <c r="F10" t="s">
        <v>4913</v>
      </c>
    </row>
    <row r="11" spans="1:6">
      <c r="A11" t="s">
        <v>4924</v>
      </c>
      <c r="B11">
        <v>412</v>
      </c>
      <c r="C11">
        <v>183</v>
      </c>
      <c r="D11" s="96">
        <f t="shared" si="0"/>
        <v>2.2513661202185791</v>
      </c>
      <c r="F11" s="96" t="s">
        <v>4919</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4907</v>
      </c>
      <c r="B21">
        <v>113</v>
      </c>
      <c r="C21">
        <v>215</v>
      </c>
      <c r="D21" s="96">
        <f t="shared" si="0"/>
        <v>0.52558139534883719</v>
      </c>
      <c r="E21" t="s">
        <v>4910</v>
      </c>
      <c r="F21" t="s">
        <v>4911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
  <sheetViews>
    <sheetView topLeftCell="A56" workbookViewId="0">
      <selection activeCell="E80" sqref="E80"/>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4856</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4853</v>
      </c>
      <c r="B4" s="18">
        <v>-960200</v>
      </c>
      <c r="C4" s="18">
        <v>0</v>
      </c>
      <c r="D4" s="113">
        <f t="shared" si="0"/>
        <v>-960200</v>
      </c>
      <c r="E4" s="99" t="s">
        <v>4857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4858</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4855</v>
      </c>
      <c r="F42" s="96"/>
      <c r="G42" s="96"/>
      <c r="H42" s="96"/>
      <c r="I42" s="96"/>
      <c r="J42" s="96"/>
      <c r="K42" s="96"/>
      <c r="L42" s="96"/>
      <c r="M42" s="96"/>
      <c r="N42" s="96"/>
      <c r="O42" s="96"/>
      <c r="P42" s="96"/>
      <c r="Q42" s="96"/>
      <c r="R42" s="96"/>
      <c r="S42" s="96"/>
      <c r="T42" s="96"/>
      <c r="U42" s="96"/>
    </row>
    <row r="43" spans="1:21">
      <c r="A43" s="96"/>
      <c r="B43" s="96"/>
      <c r="C43" s="96"/>
      <c r="D43" s="18">
        <v>252830</v>
      </c>
      <c r="E43" s="122" t="s">
        <v>4860</v>
      </c>
      <c r="F43" s="96"/>
      <c r="G43" s="96"/>
      <c r="H43" s="96"/>
      <c r="I43" s="96"/>
      <c r="J43" s="96"/>
      <c r="K43" s="96"/>
      <c r="L43" s="96"/>
      <c r="M43" s="96"/>
      <c r="N43" s="96"/>
      <c r="O43" s="96"/>
      <c r="P43" s="96"/>
      <c r="Q43" s="96"/>
      <c r="R43" s="96"/>
      <c r="S43" s="96"/>
      <c r="T43" s="96"/>
      <c r="U43" s="96"/>
    </row>
    <row r="44" spans="1:21">
      <c r="A44" s="96"/>
      <c r="B44" s="96"/>
      <c r="C44" s="96"/>
      <c r="D44" s="18">
        <v>178820</v>
      </c>
      <c r="E44" s="122" t="s">
        <v>4864</v>
      </c>
      <c r="F44" s="96"/>
      <c r="G44" s="96"/>
      <c r="H44" s="96"/>
      <c r="I44" s="96"/>
      <c r="J44" s="96"/>
      <c r="K44" s="96"/>
      <c r="L44" s="96"/>
      <c r="M44" s="96"/>
      <c r="N44" s="96"/>
      <c r="O44" s="96"/>
      <c r="P44" s="96"/>
      <c r="Q44" s="96"/>
      <c r="R44" s="96"/>
      <c r="S44" s="96"/>
      <c r="T44" s="96"/>
      <c r="U44" s="96"/>
    </row>
    <row r="45" spans="1:21">
      <c r="A45" s="96"/>
      <c r="B45" s="96"/>
      <c r="C45" s="96"/>
      <c r="D45" s="18">
        <v>382000</v>
      </c>
      <c r="E45" s="122" t="s">
        <v>4871</v>
      </c>
      <c r="F45" s="96"/>
      <c r="G45" s="96"/>
      <c r="H45" s="96"/>
      <c r="I45" s="96"/>
      <c r="J45" s="96"/>
      <c r="K45" s="96"/>
      <c r="L45" s="96"/>
      <c r="M45" s="96"/>
      <c r="N45" s="96"/>
      <c r="O45" s="96"/>
      <c r="P45" s="96"/>
      <c r="Q45" s="96"/>
      <c r="R45" s="96"/>
      <c r="S45" s="96"/>
      <c r="T45" s="96"/>
      <c r="U45" s="96"/>
    </row>
    <row r="46" spans="1:21">
      <c r="A46" s="96"/>
      <c r="B46" s="96"/>
      <c r="C46" s="96"/>
      <c r="D46" s="18">
        <v>-200000</v>
      </c>
      <c r="E46" s="122" t="s">
        <v>4872</v>
      </c>
      <c r="F46" s="96"/>
      <c r="G46" s="96"/>
      <c r="H46" s="96"/>
      <c r="I46" s="96"/>
      <c r="J46" s="96"/>
      <c r="K46" s="96"/>
      <c r="L46" s="96"/>
      <c r="M46" s="96"/>
      <c r="N46" s="96"/>
      <c r="O46" s="96"/>
      <c r="P46" s="96"/>
      <c r="Q46" s="96"/>
      <c r="R46" s="96"/>
      <c r="S46" s="96"/>
      <c r="T46" s="96"/>
      <c r="U46" s="96"/>
    </row>
    <row r="47" spans="1:21">
      <c r="A47" s="96"/>
      <c r="B47" s="96"/>
      <c r="C47" s="96"/>
      <c r="D47" s="18">
        <v>-2336075</v>
      </c>
      <c r="E47" s="122" t="s">
        <v>4876</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4879</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4888</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4890</v>
      </c>
      <c r="F50" s="96"/>
      <c r="G50" s="96"/>
      <c r="H50" s="96"/>
      <c r="I50" s="96"/>
      <c r="J50" s="96"/>
      <c r="K50" s="96"/>
      <c r="L50" s="96"/>
      <c r="M50" s="96"/>
      <c r="N50" s="96"/>
      <c r="O50" s="96"/>
      <c r="P50" s="96"/>
      <c r="Q50" s="96"/>
      <c r="R50" s="96"/>
      <c r="S50" s="96"/>
      <c r="T50" s="96"/>
      <c r="U50" s="96"/>
    </row>
    <row r="51" spans="1:21">
      <c r="A51" s="96"/>
      <c r="B51" s="96"/>
      <c r="C51" s="96"/>
      <c r="D51" s="18">
        <v>-40000</v>
      </c>
      <c r="E51" s="122" t="s">
        <v>4891</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4903</v>
      </c>
      <c r="F52" s="96"/>
      <c r="G52" s="96"/>
      <c r="H52" s="96"/>
      <c r="I52" s="96"/>
      <c r="J52" s="96"/>
      <c r="K52" s="96"/>
      <c r="L52" s="96"/>
      <c r="M52" s="96"/>
      <c r="N52" s="96"/>
      <c r="O52" s="96"/>
      <c r="P52" s="96"/>
      <c r="Q52" s="96"/>
      <c r="R52" s="96"/>
      <c r="S52" s="96"/>
      <c r="T52" s="96"/>
      <c r="U52" s="96"/>
    </row>
    <row r="53" spans="1:21">
      <c r="A53" s="96"/>
      <c r="B53" s="96"/>
      <c r="C53" s="96"/>
      <c r="D53" s="18">
        <v>160000</v>
      </c>
      <c r="E53" s="122" t="s">
        <v>4906</v>
      </c>
      <c r="F53" s="96"/>
      <c r="G53" s="96"/>
      <c r="H53" s="96"/>
      <c r="I53" s="96"/>
      <c r="J53" s="96"/>
      <c r="K53" s="96"/>
      <c r="L53" s="96"/>
      <c r="M53" s="96"/>
      <c r="N53" s="96"/>
      <c r="O53" s="96"/>
      <c r="P53" s="96"/>
      <c r="Q53" s="96"/>
      <c r="R53" s="96"/>
      <c r="S53" s="96"/>
      <c r="T53" s="96"/>
      <c r="U53" s="96"/>
    </row>
    <row r="54" spans="1:21">
      <c r="A54" s="96"/>
      <c r="B54" s="96"/>
      <c r="C54" s="96"/>
      <c r="D54" s="18">
        <v>-224012</v>
      </c>
      <c r="E54" s="122" t="s">
        <v>4944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4945</v>
      </c>
      <c r="F55" s="114"/>
      <c r="G55" s="41"/>
      <c r="H55" s="96"/>
      <c r="I55" s="96"/>
      <c r="J55" s="96"/>
      <c r="K55" s="96"/>
      <c r="L55" s="96"/>
      <c r="M55" s="96"/>
      <c r="N55" s="96"/>
      <c r="O55" s="96"/>
      <c r="P55" s="96"/>
      <c r="Q55" s="96"/>
      <c r="R55" s="96"/>
      <c r="S55" s="96"/>
      <c r="T55" s="96"/>
      <c r="U55" s="96"/>
    </row>
    <row r="56" spans="1:21">
      <c r="A56" s="96"/>
      <c r="B56" s="96"/>
      <c r="C56" s="96"/>
      <c r="D56" s="18">
        <v>1465000</v>
      </c>
      <c r="E56" s="122" t="s">
        <v>4953</v>
      </c>
      <c r="F56" s="114"/>
      <c r="G56" s="41"/>
      <c r="H56" s="96"/>
      <c r="I56" s="96"/>
      <c r="J56" s="96"/>
      <c r="K56" s="96"/>
      <c r="L56" s="96"/>
      <c r="M56" s="96"/>
      <c r="N56" s="96"/>
      <c r="O56" s="96"/>
      <c r="P56" s="96"/>
      <c r="Q56" s="96"/>
      <c r="R56" s="96"/>
      <c r="S56" s="96"/>
      <c r="T56" s="96"/>
      <c r="U56" s="96"/>
    </row>
    <row r="57" spans="1:21">
      <c r="A57" s="96"/>
      <c r="B57" s="96"/>
      <c r="C57" s="96"/>
      <c r="D57" s="18">
        <v>2600000</v>
      </c>
      <c r="E57" s="122" t="s">
        <v>4991</v>
      </c>
      <c r="F57" s="114"/>
      <c r="G57" s="41"/>
      <c r="H57" s="96"/>
      <c r="I57" s="96"/>
      <c r="J57" s="96"/>
      <c r="K57" s="96"/>
      <c r="L57" s="96"/>
      <c r="M57" s="96"/>
      <c r="N57" s="96"/>
      <c r="O57" s="96"/>
      <c r="P57" s="96"/>
      <c r="Q57" s="96"/>
      <c r="R57" s="96"/>
      <c r="S57" s="96"/>
      <c r="T57" s="96"/>
      <c r="U57" s="96"/>
    </row>
    <row r="58" spans="1:21">
      <c r="A58" s="96"/>
      <c r="B58" s="96"/>
      <c r="C58" s="96"/>
      <c r="D58" s="18">
        <v>-1170000</v>
      </c>
      <c r="E58" s="122" t="s">
        <v>5003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5002</v>
      </c>
      <c r="F59" s="114"/>
      <c r="G59" s="96"/>
      <c r="H59" s="96"/>
      <c r="I59" s="96"/>
      <c r="J59" s="96"/>
      <c r="K59" s="96"/>
      <c r="L59" s="96"/>
      <c r="M59" s="96"/>
      <c r="N59" s="96"/>
      <c r="O59" s="96"/>
      <c r="P59" s="96"/>
      <c r="Q59" s="96"/>
      <c r="R59" s="96"/>
      <c r="S59" s="96"/>
      <c r="T59" s="96"/>
      <c r="U59" s="96"/>
    </row>
    <row r="60" spans="1:21">
      <c r="A60" s="96"/>
      <c r="B60" s="96"/>
      <c r="C60" s="96"/>
      <c r="D60" s="18">
        <v>360000</v>
      </c>
      <c r="E60" s="122" t="s">
        <v>5014</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5042</v>
      </c>
      <c r="F61" s="96"/>
      <c r="G61" s="96"/>
      <c r="H61" s="96"/>
      <c r="I61" s="96"/>
      <c r="J61" s="96"/>
      <c r="K61" s="96"/>
      <c r="L61" s="96"/>
      <c r="M61" s="96"/>
      <c r="N61" s="96"/>
      <c r="O61" s="96"/>
      <c r="P61" s="96"/>
      <c r="Q61" s="96"/>
      <c r="R61" s="96"/>
      <c r="S61" s="96"/>
      <c r="T61" s="96"/>
      <c r="U61" s="96"/>
    </row>
    <row r="62" spans="1:21">
      <c r="A62" s="96"/>
      <c r="B62" s="96"/>
      <c r="C62" s="96"/>
      <c r="D62" s="18">
        <v>-550000</v>
      </c>
      <c r="E62" s="256" t="s">
        <v>5045</v>
      </c>
      <c r="F62" s="96"/>
      <c r="G62" s="96"/>
      <c r="H62" s="96"/>
      <c r="I62" s="96"/>
      <c r="J62" s="96"/>
      <c r="K62" s="96"/>
      <c r="L62" s="96"/>
      <c r="M62" s="96"/>
      <c r="N62" s="96"/>
      <c r="O62" s="96"/>
      <c r="P62" s="96"/>
      <c r="Q62" s="96"/>
      <c r="R62" s="96"/>
      <c r="S62" s="96"/>
      <c r="T62" s="96"/>
      <c r="U62" s="96"/>
    </row>
    <row r="63" spans="1:21">
      <c r="A63" s="96"/>
      <c r="B63" s="96"/>
      <c r="C63" s="96"/>
      <c r="D63" s="18">
        <v>-850000</v>
      </c>
      <c r="E63" s="256" t="s">
        <v>5054</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5058</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5063</v>
      </c>
      <c r="F65" s="96"/>
      <c r="G65" s="96"/>
      <c r="H65" s="96"/>
      <c r="I65" s="96"/>
      <c r="J65" s="96"/>
      <c r="K65" s="96"/>
      <c r="L65" s="96"/>
      <c r="M65" s="96"/>
      <c r="N65" s="96"/>
      <c r="O65" s="96"/>
      <c r="P65" s="96"/>
      <c r="Q65" s="96"/>
      <c r="R65" s="96"/>
      <c r="S65" s="96"/>
      <c r="T65" s="96"/>
      <c r="U65" s="96"/>
    </row>
    <row r="66" spans="1:21">
      <c r="A66" s="96"/>
      <c r="B66" s="96"/>
      <c r="C66" s="96"/>
      <c r="D66" s="18">
        <v>-2290500</v>
      </c>
      <c r="E66" s="256" t="s">
        <v>5064</v>
      </c>
      <c r="F66" s="96"/>
      <c r="G66" s="96"/>
      <c r="H66" s="96"/>
      <c r="I66" s="96"/>
      <c r="J66" s="96"/>
      <c r="K66" s="96"/>
      <c r="L66" s="96"/>
      <c r="M66" s="96"/>
      <c r="N66" s="96"/>
      <c r="O66" s="96"/>
      <c r="P66" s="96"/>
      <c r="Q66" s="96"/>
      <c r="R66" s="96"/>
      <c r="S66" s="96"/>
      <c r="T66" s="96"/>
      <c r="U66" s="96"/>
    </row>
    <row r="67" spans="1:21">
      <c r="A67" s="96"/>
      <c r="B67" s="96"/>
      <c r="C67" s="96"/>
      <c r="D67" s="18">
        <v>1700000</v>
      </c>
      <c r="E67" s="256" t="s">
        <v>5079</v>
      </c>
      <c r="F67" s="96"/>
      <c r="G67" s="96"/>
      <c r="H67" s="96"/>
      <c r="I67" s="96"/>
      <c r="J67" s="96"/>
      <c r="K67" s="96"/>
      <c r="L67" s="96"/>
      <c r="M67" s="96"/>
      <c r="N67" s="96"/>
      <c r="O67" s="96"/>
      <c r="P67" s="96"/>
      <c r="Q67" s="96"/>
      <c r="R67" s="96"/>
      <c r="S67" s="96"/>
      <c r="T67" s="96"/>
      <c r="U67" s="96"/>
    </row>
    <row r="68" spans="1:21">
      <c r="A68" s="96"/>
      <c r="B68" s="96"/>
      <c r="C68" s="96"/>
      <c r="D68" s="18">
        <v>-150000</v>
      </c>
      <c r="E68" s="256" t="s">
        <v>5084</v>
      </c>
      <c r="F68" s="96"/>
      <c r="G68" s="96"/>
      <c r="H68" s="96"/>
      <c r="I68" s="96"/>
      <c r="J68" s="96"/>
      <c r="K68" s="96"/>
      <c r="L68" s="96"/>
      <c r="M68" s="96"/>
      <c r="N68" s="96"/>
      <c r="O68" s="96"/>
      <c r="P68" s="96"/>
      <c r="Q68" s="96"/>
      <c r="R68" s="96"/>
      <c r="S68" s="96"/>
      <c r="T68" s="96"/>
      <c r="U68" s="96"/>
    </row>
    <row r="69" spans="1:21">
      <c r="A69" s="96"/>
      <c r="B69" s="96"/>
      <c r="C69" s="96"/>
      <c r="D69" s="18">
        <v>-550000</v>
      </c>
      <c r="E69" s="256" t="s">
        <v>5090</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5117</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5144</v>
      </c>
      <c r="F71" s="96"/>
      <c r="G71" s="96"/>
      <c r="H71" s="96"/>
      <c r="I71" s="96"/>
      <c r="J71" s="96"/>
      <c r="K71" s="96"/>
      <c r="L71" s="96"/>
      <c r="M71" s="96"/>
      <c r="N71" s="96"/>
      <c r="O71" s="96"/>
      <c r="P71" s="96"/>
      <c r="Q71" s="96"/>
      <c r="R71" s="96"/>
      <c r="S71" s="96"/>
      <c r="T71" s="96"/>
      <c r="U71" s="96"/>
    </row>
    <row r="72" spans="1:21">
      <c r="A72" s="96"/>
      <c r="B72" s="96"/>
      <c r="C72" s="96"/>
      <c r="D72" s="18">
        <v>1500000</v>
      </c>
      <c r="E72" s="256" t="s">
        <v>5145</v>
      </c>
      <c r="F72" s="96"/>
      <c r="G72" s="96"/>
      <c r="H72" s="96"/>
      <c r="I72" s="96"/>
      <c r="J72" s="96"/>
      <c r="K72" s="96"/>
      <c r="L72" s="96"/>
      <c r="M72" s="96"/>
      <c r="N72" s="96"/>
      <c r="O72" s="96"/>
      <c r="P72" s="96"/>
      <c r="Q72" s="96"/>
      <c r="R72" s="96"/>
      <c r="S72" s="96"/>
      <c r="T72" s="96"/>
      <c r="U72" s="96"/>
    </row>
    <row r="73" spans="1:21">
      <c r="A73" s="96"/>
      <c r="B73" s="96"/>
      <c r="C73" s="96"/>
      <c r="D73" s="18">
        <v>-550000</v>
      </c>
      <c r="E73" s="256" t="s">
        <v>5153</v>
      </c>
      <c r="F73" s="96"/>
      <c r="G73" s="96"/>
      <c r="H73" s="96"/>
      <c r="I73" s="96"/>
      <c r="J73" s="96"/>
      <c r="K73" s="96"/>
      <c r="L73" s="96"/>
      <c r="M73" s="96"/>
      <c r="N73" s="96"/>
      <c r="O73" s="96"/>
      <c r="P73" s="96"/>
      <c r="Q73" s="96"/>
      <c r="R73" s="96"/>
      <c r="S73" s="96"/>
      <c r="T73" s="96"/>
      <c r="U73" s="96"/>
    </row>
    <row r="74" spans="1:21">
      <c r="A74" s="96"/>
      <c r="B74" s="96"/>
      <c r="C74" s="96"/>
      <c r="D74" s="18">
        <v>-50000</v>
      </c>
      <c r="E74" s="256" t="s">
        <v>5154</v>
      </c>
      <c r="F74" s="96"/>
      <c r="G74" s="96"/>
      <c r="H74" s="96"/>
      <c r="I74" s="96"/>
      <c r="J74" s="96"/>
      <c r="K74" s="96"/>
      <c r="L74" s="96"/>
      <c r="M74" s="96"/>
      <c r="N74" s="96"/>
      <c r="O74" s="96"/>
      <c r="P74" s="96"/>
      <c r="Q74" s="96"/>
      <c r="R74" s="96"/>
      <c r="S74" s="96"/>
      <c r="T74" s="96"/>
      <c r="U74" s="96"/>
    </row>
    <row r="75" spans="1:21">
      <c r="A75" s="96"/>
      <c r="B75" s="96"/>
      <c r="C75" s="96"/>
      <c r="D75" s="18">
        <v>-60000</v>
      </c>
      <c r="E75" s="256" t="s">
        <v>5155</v>
      </c>
      <c r="F75" s="96"/>
      <c r="G75" s="96"/>
      <c r="H75" s="96"/>
      <c r="I75" s="96"/>
      <c r="J75" s="96"/>
      <c r="K75" s="96"/>
      <c r="L75" s="96"/>
      <c r="M75" s="96"/>
      <c r="N75" s="96"/>
      <c r="O75" s="96"/>
      <c r="P75" s="96"/>
      <c r="Q75" s="96"/>
      <c r="R75" s="96"/>
      <c r="S75" s="96"/>
      <c r="T75" s="96"/>
      <c r="U75" s="96"/>
    </row>
    <row r="76" spans="1:21">
      <c r="A76" s="96"/>
      <c r="B76" s="96"/>
      <c r="C76" s="96"/>
      <c r="D76" s="18">
        <v>-43000</v>
      </c>
      <c r="E76" s="256" t="s">
        <v>5167</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5183</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5184</v>
      </c>
      <c r="F78" s="96"/>
      <c r="G78" s="96"/>
      <c r="H78" s="96"/>
      <c r="I78" s="96"/>
      <c r="J78" s="96"/>
      <c r="K78" s="96"/>
      <c r="L78" s="96"/>
      <c r="M78" s="96"/>
      <c r="N78" s="96"/>
      <c r="O78" s="96"/>
      <c r="P78" s="96"/>
      <c r="Q78" s="96"/>
      <c r="R78" s="96"/>
      <c r="S78" s="96"/>
      <c r="T78" s="96"/>
      <c r="U78" s="96"/>
    </row>
    <row r="79" spans="1:21">
      <c r="A79" s="96"/>
      <c r="B79" s="96"/>
      <c r="C79" s="96"/>
      <c r="D79" s="18">
        <v>-750000</v>
      </c>
      <c r="E79" s="256" t="s">
        <v>5195</v>
      </c>
      <c r="F79" s="96"/>
      <c r="G79" s="96"/>
      <c r="H79" s="96"/>
      <c r="I79" s="96"/>
      <c r="J79" s="96"/>
      <c r="K79" s="96"/>
      <c r="L79" s="96"/>
      <c r="M79" s="96"/>
      <c r="N79" s="96"/>
      <c r="O79" s="96"/>
      <c r="P79" s="96"/>
      <c r="Q79" s="96"/>
      <c r="R79" s="96"/>
      <c r="S79" s="96"/>
      <c r="T79" s="96"/>
      <c r="U79" s="96"/>
    </row>
    <row r="80" spans="1:21">
      <c r="A80" s="96"/>
      <c r="B80" s="96"/>
      <c r="C80" s="96"/>
      <c r="D80" s="18"/>
      <c r="E80" s="96"/>
      <c r="F80" s="96"/>
      <c r="G80" s="96"/>
      <c r="H80" s="96"/>
      <c r="I80" s="96"/>
      <c r="J80" s="96"/>
      <c r="K80" s="96"/>
      <c r="L80" s="96"/>
      <c r="M80" s="96"/>
      <c r="N80" s="96"/>
      <c r="O80" s="96"/>
      <c r="P80" s="96"/>
      <c r="Q80" s="96"/>
      <c r="R80" s="96"/>
      <c r="S80" s="96"/>
      <c r="T80" s="96"/>
      <c r="U80" s="96"/>
    </row>
    <row r="81" spans="1:21">
      <c r="A81" s="96"/>
      <c r="B81" s="96"/>
      <c r="C81" s="96"/>
      <c r="D81" s="18"/>
      <c r="E81" s="96" t="s">
        <v>25</v>
      </c>
      <c r="F81" s="96"/>
      <c r="G81" s="96"/>
      <c r="H81" s="96"/>
      <c r="I81" s="96"/>
      <c r="J81" s="96"/>
      <c r="K81" s="96"/>
      <c r="L81" s="96"/>
      <c r="M81" s="96"/>
      <c r="N81" s="96"/>
      <c r="O81" s="96"/>
      <c r="P81" s="96"/>
      <c r="Q81" s="96"/>
      <c r="R81" s="96"/>
      <c r="S81" s="96"/>
      <c r="T81" s="96"/>
      <c r="U81" s="96"/>
    </row>
    <row r="82" spans="1:21">
      <c r="A82" s="96"/>
      <c r="B82" s="96"/>
      <c r="C82" s="96"/>
      <c r="D82" s="18">
        <f>SUM(D40:D81)</f>
        <v>22915909</v>
      </c>
      <c r="E82" s="96" t="s">
        <v>6</v>
      </c>
      <c r="F82" s="96"/>
      <c r="G82" s="96"/>
      <c r="H82" s="96"/>
      <c r="I82" s="96"/>
      <c r="J82" s="96"/>
      <c r="K82" s="96"/>
      <c r="L82" s="96"/>
      <c r="M82" s="96"/>
      <c r="N82" s="96"/>
      <c r="O82" s="96"/>
      <c r="P82" s="96"/>
      <c r="Q82" s="96"/>
      <c r="R82" s="96"/>
      <c r="S82" s="96"/>
      <c r="T82" s="96"/>
      <c r="U82" s="96"/>
    </row>
    <row r="83" spans="1:21">
      <c r="D83" s="96"/>
      <c r="E83" s="96"/>
      <c r="H83" t="s">
        <v>25</v>
      </c>
    </row>
    <row r="84" spans="1:21">
      <c r="D84" s="96"/>
      <c r="E84" s="96"/>
    </row>
    <row r="87" spans="1:21">
      <c r="E87" t="s">
        <v>25</v>
      </c>
    </row>
    <row r="88" spans="1:21">
      <c r="E8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4850</v>
      </c>
    </row>
    <row r="77" spans="1:22">
      <c r="D77" s="18">
        <v>1417727</v>
      </c>
      <c r="E77" s="96" t="s">
        <v>4851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4851</v>
      </c>
      <c r="F345" s="99">
        <v>3</v>
      </c>
      <c r="G345" s="36">
        <f t="shared" si="43"/>
        <v>9</v>
      </c>
      <c r="H345" s="99">
        <f t="shared" si="44"/>
        <v>0</v>
      </c>
      <c r="I345" s="99">
        <f t="shared" si="45"/>
        <v>-12759543</v>
      </c>
      <c r="J345" s="99">
        <f t="shared" si="46"/>
        <v>0</v>
      </c>
      <c r="K345" s="99">
        <f t="shared" si="47"/>
        <v>-12759543</v>
      </c>
      <c r="L345" t="s">
        <v>25</v>
      </c>
    </row>
    <row r="346" spans="1:13">
      <c r="A346" s="99" t="s">
        <v>4856</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4853</v>
      </c>
      <c r="B347" s="18">
        <v>-960200</v>
      </c>
      <c r="C347" s="18">
        <v>0</v>
      </c>
      <c r="D347" s="18">
        <f t="shared" si="18"/>
        <v>-960200</v>
      </c>
      <c r="E347" s="99" t="s">
        <v>4857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1292.9000000000001</v>
      </c>
      <c r="C5" s="99"/>
      <c r="D5" s="99"/>
      <c r="F5" s="132">
        <v>0.2</v>
      </c>
      <c r="G5" s="132">
        <v>0.46</v>
      </c>
      <c r="I5" s="99"/>
      <c r="J5" s="99"/>
      <c r="L5" s="99" t="s">
        <v>3704</v>
      </c>
      <c r="M5" s="99">
        <v>6150</v>
      </c>
      <c r="U5" s="96"/>
      <c r="V5" s="96"/>
      <c r="W5" s="96"/>
      <c r="X5" s="96"/>
      <c r="Y5" s="96"/>
      <c r="Z5" s="96"/>
    </row>
    <row r="6" spans="1:35" ht="20.25" customHeight="1">
      <c r="A6" s="99" t="s">
        <v>1115</v>
      </c>
      <c r="B6" s="99">
        <v>13800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4204300.1219935687</v>
      </c>
      <c r="C8" s="99">
        <f>B2*B4*B5/(B1*B3)+B7/B6</f>
        <v>304.65942912996877</v>
      </c>
      <c r="D8" s="99" t="s">
        <v>4253</v>
      </c>
      <c r="I8" s="99" t="s">
        <v>3880</v>
      </c>
      <c r="J8" s="99" t="s">
        <v>3676</v>
      </c>
      <c r="L8" s="99"/>
      <c r="M8" s="99"/>
      <c r="U8" s="96"/>
      <c r="V8" s="96"/>
      <c r="W8" s="96"/>
      <c r="X8" s="96"/>
      <c r="Y8" s="96"/>
      <c r="Z8" s="96"/>
    </row>
    <row r="9" spans="1:35">
      <c r="A9" s="69" t="s">
        <v>4251</v>
      </c>
      <c r="B9" s="95">
        <v>4800000</v>
      </c>
      <c r="C9" s="99"/>
      <c r="D9" s="99"/>
      <c r="I9" s="99" t="s">
        <v>3686</v>
      </c>
      <c r="J9" s="99" t="s">
        <v>3687</v>
      </c>
      <c r="L9" s="99"/>
      <c r="M9" s="99"/>
      <c r="R9" s="96"/>
      <c r="S9" s="96"/>
      <c r="T9" s="96"/>
      <c r="U9" s="96"/>
      <c r="V9" s="96"/>
      <c r="W9" s="96"/>
      <c r="X9" s="96"/>
      <c r="Y9" s="96"/>
      <c r="Z9" s="96"/>
    </row>
    <row r="10" spans="1:35">
      <c r="A10" s="69" t="s">
        <v>4252</v>
      </c>
      <c r="B10" s="95">
        <f>B9-B8</f>
        <v>595699.87800643127</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5102</v>
      </c>
      <c r="X20">
        <v>9194342556</v>
      </c>
      <c r="Y20" s="96"/>
      <c r="Z20" s="96"/>
      <c r="AB20" s="96"/>
      <c r="AC20" s="96"/>
      <c r="AD20" s="96"/>
      <c r="AE20" s="96"/>
      <c r="AF20" s="96"/>
      <c r="AG20" s="96"/>
      <c r="AH20" s="96"/>
      <c r="AI20" s="96"/>
    </row>
    <row r="21" spans="5:35">
      <c r="O21" s="99"/>
      <c r="P21" s="99"/>
      <c r="Q21" s="273" t="s">
        <v>1088</v>
      </c>
      <c r="R21" s="273"/>
      <c r="S21" s="273"/>
      <c r="T21" s="273"/>
      <c r="U21" s="96"/>
      <c r="V21" s="96"/>
      <c r="W21" t="s">
        <v>5101</v>
      </c>
      <c r="X21">
        <v>9035210431</v>
      </c>
      <c r="Y21" s="96"/>
      <c r="Z21" s="96"/>
    </row>
    <row r="22" spans="5:35">
      <c r="O22" s="99"/>
      <c r="P22" s="99"/>
      <c r="Q22" s="273"/>
      <c r="R22" s="273"/>
      <c r="S22" s="273"/>
      <c r="T22" s="273"/>
      <c r="U22" s="96"/>
      <c r="V22" s="96"/>
      <c r="W22" s="96"/>
      <c r="X22" s="96"/>
      <c r="Y22" s="96"/>
      <c r="Z22" s="96"/>
    </row>
    <row r="23" spans="5:35" ht="15.75">
      <c r="O23" s="178"/>
      <c r="P23" s="99" t="s">
        <v>4085</v>
      </c>
      <c r="Q23" s="274" t="s">
        <v>1089</v>
      </c>
      <c r="R23" s="275" t="s">
        <v>1090</v>
      </c>
      <c r="S23" s="274" t="s">
        <v>1091</v>
      </c>
      <c r="T23" s="276" t="s">
        <v>1092</v>
      </c>
      <c r="AD23" t="s">
        <v>25</v>
      </c>
    </row>
    <row r="24" spans="5:35">
      <c r="O24" s="99"/>
      <c r="P24" s="99"/>
      <c r="Q24" s="274"/>
      <c r="R24" s="275"/>
      <c r="S24" s="274"/>
      <c r="T24" s="276"/>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4873</v>
      </c>
      <c r="B26" s="95">
        <v>0</v>
      </c>
      <c r="C26" s="95">
        <v>12000</v>
      </c>
      <c r="D26" s="99" t="s">
        <v>4882</v>
      </c>
    </row>
    <row r="27" spans="1:9">
      <c r="A27" s="99" t="s">
        <v>4874</v>
      </c>
      <c r="B27" s="95">
        <v>0</v>
      </c>
      <c r="C27" s="95">
        <v>1000</v>
      </c>
      <c r="D27" s="99" t="s">
        <v>315</v>
      </c>
    </row>
    <row r="28" spans="1:9">
      <c r="A28" s="99" t="s">
        <v>4883</v>
      </c>
      <c r="B28" s="95">
        <v>0</v>
      </c>
      <c r="C28" s="95">
        <v>1000</v>
      </c>
      <c r="D28" s="99" t="s">
        <v>315</v>
      </c>
    </row>
    <row r="29" spans="1:9">
      <c r="A29" s="99" t="s">
        <v>4885</v>
      </c>
      <c r="B29" s="95">
        <v>0</v>
      </c>
      <c r="C29" s="95">
        <v>1000</v>
      </c>
      <c r="D29" s="99" t="s">
        <v>315</v>
      </c>
    </row>
    <row r="30" spans="1:9">
      <c r="A30" s="99" t="s">
        <v>4886</v>
      </c>
      <c r="B30" s="95">
        <v>0</v>
      </c>
      <c r="C30" s="95">
        <v>5500</v>
      </c>
      <c r="D30" s="99" t="s">
        <v>4718</v>
      </c>
    </row>
    <row r="31" spans="1:9">
      <c r="A31" s="99" t="s">
        <v>4886</v>
      </c>
      <c r="B31" s="95">
        <v>11000</v>
      </c>
      <c r="C31" s="95">
        <v>0</v>
      </c>
      <c r="D31" s="99" t="s">
        <v>4717</v>
      </c>
    </row>
    <row r="32" spans="1:9">
      <c r="A32" s="99" t="s">
        <v>4894</v>
      </c>
      <c r="B32" s="95">
        <v>0</v>
      </c>
      <c r="C32" s="95">
        <v>1000</v>
      </c>
      <c r="D32" s="99" t="s">
        <v>315</v>
      </c>
      <c r="H32" t="s">
        <v>25</v>
      </c>
    </row>
    <row r="33" spans="1:10">
      <c r="A33" s="99" t="s">
        <v>4896</v>
      </c>
      <c r="B33" s="95">
        <v>0</v>
      </c>
      <c r="C33" s="95">
        <v>1000</v>
      </c>
      <c r="D33" s="99" t="s">
        <v>315</v>
      </c>
      <c r="H33" t="s">
        <v>25</v>
      </c>
    </row>
    <row r="34" spans="1:10">
      <c r="A34" s="99" t="s">
        <v>4898</v>
      </c>
      <c r="B34" s="95">
        <v>0</v>
      </c>
      <c r="C34" s="95">
        <v>1000</v>
      </c>
      <c r="D34" s="99" t="s">
        <v>315</v>
      </c>
    </row>
    <row r="35" spans="1:10">
      <c r="A35" s="99" t="s">
        <v>4899</v>
      </c>
      <c r="B35" s="95">
        <v>0</v>
      </c>
      <c r="C35" s="95">
        <v>1000</v>
      </c>
      <c r="D35" s="99" t="s">
        <v>315</v>
      </c>
      <c r="J35" t="s">
        <v>25</v>
      </c>
    </row>
    <row r="36" spans="1:10">
      <c r="A36" s="99" t="s">
        <v>4904</v>
      </c>
      <c r="B36" s="95">
        <v>1000</v>
      </c>
      <c r="C36" s="95">
        <v>0</v>
      </c>
      <c r="D36" s="99" t="s">
        <v>315</v>
      </c>
    </row>
    <row r="37" spans="1:10">
      <c r="A37" s="99" t="s">
        <v>4904</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1017</v>
      </c>
    </row>
    <row r="187" spans="1:7">
      <c r="A187" s="11" t="s">
        <v>1016</v>
      </c>
      <c r="B187" s="3">
        <v>-1100000</v>
      </c>
      <c r="C187" s="11">
        <v>0</v>
      </c>
      <c r="D187" s="11">
        <f t="shared" si="8"/>
        <v>434</v>
      </c>
      <c r="E187" s="11">
        <f t="shared" si="7"/>
        <v>0</v>
      </c>
      <c r="F187" s="11">
        <f t="shared" si="5"/>
        <v>-477400000</v>
      </c>
      <c r="G187" s="11" t="s">
        <v>1017</v>
      </c>
    </row>
    <row r="188" spans="1:7">
      <c r="A188" s="11" t="s">
        <v>1016</v>
      </c>
      <c r="B188" s="3">
        <v>3000000</v>
      </c>
      <c r="C188" s="11">
        <v>1</v>
      </c>
      <c r="D188" s="11">
        <f t="shared" si="8"/>
        <v>434</v>
      </c>
      <c r="E188" s="11">
        <f t="shared" si="7"/>
        <v>1</v>
      </c>
      <c r="F188" s="11">
        <f t="shared" si="5"/>
        <v>1299000000</v>
      </c>
      <c r="G188" s="11" t="s">
        <v>1028</v>
      </c>
    </row>
    <row r="189" spans="1:7">
      <c r="A189" s="11" t="s">
        <v>1027</v>
      </c>
      <c r="B189" s="3">
        <v>2000000</v>
      </c>
      <c r="C189" s="11">
        <v>0</v>
      </c>
      <c r="D189" s="11">
        <f t="shared" si="8"/>
        <v>433</v>
      </c>
      <c r="E189" s="11">
        <f t="shared" si="7"/>
        <v>1</v>
      </c>
      <c r="F189" s="11">
        <f t="shared" si="5"/>
        <v>864000000</v>
      </c>
      <c r="G189" s="11" t="s">
        <v>1028</v>
      </c>
    </row>
    <row r="190" spans="1:7">
      <c r="A190" s="11" t="s">
        <v>1027</v>
      </c>
      <c r="B190" s="3">
        <v>-5000000</v>
      </c>
      <c r="C190" s="11">
        <v>1</v>
      </c>
      <c r="D190" s="11">
        <f t="shared" si="8"/>
        <v>433</v>
      </c>
      <c r="E190" s="11">
        <f t="shared" si="7"/>
        <v>0</v>
      </c>
      <c r="F190" s="11">
        <f t="shared" si="5"/>
        <v>-2165000000</v>
      </c>
      <c r="G190" s="11" t="s">
        <v>1017</v>
      </c>
    </row>
    <row r="191" spans="1:7">
      <c r="A191" s="11" t="s">
        <v>1033</v>
      </c>
      <c r="B191" s="3">
        <v>483248</v>
      </c>
      <c r="C191" s="11">
        <v>4</v>
      </c>
      <c r="D191" s="11">
        <f t="shared" si="8"/>
        <v>432</v>
      </c>
      <c r="E191" s="11">
        <f t="shared" si="7"/>
        <v>1</v>
      </c>
      <c r="F191" s="11">
        <f t="shared" si="5"/>
        <v>208279888</v>
      </c>
      <c r="G191" s="11" t="s">
        <v>1035</v>
      </c>
    </row>
    <row r="192" spans="1:7">
      <c r="A192" s="11" t="s">
        <v>1061</v>
      </c>
      <c r="B192" s="3">
        <v>-115300</v>
      </c>
      <c r="C192" s="11">
        <v>4</v>
      </c>
      <c r="D192" s="11">
        <f t="shared" si="8"/>
        <v>428</v>
      </c>
      <c r="E192" s="11">
        <f t="shared" si="7"/>
        <v>0</v>
      </c>
      <c r="F192" s="11">
        <f t="shared" si="5"/>
        <v>-49348400</v>
      </c>
      <c r="G192" s="11" t="s">
        <v>1062</v>
      </c>
    </row>
    <row r="193" spans="1:7">
      <c r="A193" s="11" t="s">
        <v>1072</v>
      </c>
      <c r="B193" s="3">
        <v>90000000</v>
      </c>
      <c r="C193" s="11">
        <v>7</v>
      </c>
      <c r="D193" s="11">
        <f t="shared" si="8"/>
        <v>424</v>
      </c>
      <c r="E193" s="11">
        <f t="shared" si="7"/>
        <v>1</v>
      </c>
      <c r="F193" s="11">
        <f t="shared" si="5"/>
        <v>38070000000</v>
      </c>
      <c r="G193" s="11" t="s">
        <v>1073</v>
      </c>
    </row>
    <row r="194" spans="1:7">
      <c r="A194" s="11" t="s">
        <v>1077</v>
      </c>
      <c r="B194" s="3">
        <v>52000000</v>
      </c>
      <c r="C194" s="11">
        <v>0</v>
      </c>
      <c r="D194" s="11">
        <f t="shared" si="8"/>
        <v>417</v>
      </c>
      <c r="E194" s="11">
        <f t="shared" si="7"/>
        <v>1</v>
      </c>
      <c r="F194" s="11">
        <f t="shared" si="5"/>
        <v>21632000000</v>
      </c>
      <c r="G194" s="11" t="s">
        <v>1082</v>
      </c>
    </row>
    <row r="195" spans="1:7">
      <c r="A195" s="11" t="s">
        <v>1077</v>
      </c>
      <c r="B195" s="3">
        <v>25000000</v>
      </c>
      <c r="C195" s="11">
        <v>0</v>
      </c>
      <c r="D195" s="11">
        <f t="shared" si="8"/>
        <v>417</v>
      </c>
      <c r="E195" s="11">
        <f t="shared" si="7"/>
        <v>1</v>
      </c>
      <c r="F195" s="99">
        <f t="shared" si="5"/>
        <v>10400000000</v>
      </c>
      <c r="G195" s="11" t="s">
        <v>1083</v>
      </c>
    </row>
    <row r="196" spans="1:7">
      <c r="A196" s="11" t="s">
        <v>1077</v>
      </c>
      <c r="B196" s="3">
        <v>-168000000</v>
      </c>
      <c r="C196" s="11">
        <v>7</v>
      </c>
      <c r="D196" s="99">
        <f t="shared" si="8"/>
        <v>417</v>
      </c>
      <c r="E196" s="99">
        <f t="shared" si="7"/>
        <v>0</v>
      </c>
      <c r="F196" s="99">
        <f t="shared" si="5"/>
        <v>-70056000000</v>
      </c>
      <c r="G196" s="11" t="s">
        <v>1084</v>
      </c>
    </row>
    <row r="197" spans="1:7">
      <c r="A197" s="11" t="s">
        <v>1130</v>
      </c>
      <c r="B197" s="3">
        <v>-165500</v>
      </c>
      <c r="C197" s="11">
        <v>4</v>
      </c>
      <c r="D197" s="99">
        <f t="shared" si="8"/>
        <v>410</v>
      </c>
      <c r="E197" s="99">
        <f t="shared" si="7"/>
        <v>0</v>
      </c>
      <c r="F197" s="99">
        <f t="shared" si="5"/>
        <v>-67855000</v>
      </c>
      <c r="G197" s="11" t="s">
        <v>1131</v>
      </c>
    </row>
    <row r="198" spans="1:7">
      <c r="A198" s="99" t="s">
        <v>1132</v>
      </c>
      <c r="B198" s="113">
        <v>-200000</v>
      </c>
      <c r="C198" s="99">
        <v>0</v>
      </c>
      <c r="D198" s="99">
        <f t="shared" si="8"/>
        <v>406</v>
      </c>
      <c r="E198" s="99">
        <f t="shared" si="7"/>
        <v>0</v>
      </c>
      <c r="F198" s="99">
        <f t="shared" si="5"/>
        <v>-81200000</v>
      </c>
      <c r="G198" s="99" t="s">
        <v>1133</v>
      </c>
    </row>
    <row r="199" spans="1:7">
      <c r="A199" s="99" t="s">
        <v>1132</v>
      </c>
      <c r="B199" s="113">
        <v>-46981</v>
      </c>
      <c r="C199" s="99">
        <v>3</v>
      </c>
      <c r="D199" s="99">
        <f t="shared" si="8"/>
        <v>406</v>
      </c>
      <c r="E199" s="99">
        <f t="shared" si="7"/>
        <v>0</v>
      </c>
      <c r="F199" s="99">
        <f t="shared" si="5"/>
        <v>-19074286</v>
      </c>
      <c r="G199" s="99" t="s">
        <v>871</v>
      </c>
    </row>
    <row r="200" spans="1:7">
      <c r="A200" s="99" t="s">
        <v>1142</v>
      </c>
      <c r="B200" s="113">
        <v>-4650</v>
      </c>
      <c r="C200" s="99">
        <v>2</v>
      </c>
      <c r="D200" s="99">
        <f t="shared" si="8"/>
        <v>403</v>
      </c>
      <c r="E200" s="99">
        <f t="shared" si="7"/>
        <v>0</v>
      </c>
      <c r="F200" s="99">
        <f t="shared" si="5"/>
        <v>-1873950</v>
      </c>
      <c r="G200" s="99" t="s">
        <v>871</v>
      </c>
    </row>
    <row r="201" spans="1:7">
      <c r="A201" s="99" t="s">
        <v>1144</v>
      </c>
      <c r="B201" s="113">
        <v>159828</v>
      </c>
      <c r="C201" s="99">
        <v>3</v>
      </c>
      <c r="D201" s="99">
        <f t="shared" si="8"/>
        <v>401</v>
      </c>
      <c r="E201" s="99">
        <f t="shared" si="7"/>
        <v>1</v>
      </c>
      <c r="F201" s="99">
        <f t="shared" si="5"/>
        <v>63931200</v>
      </c>
      <c r="G201" s="99" t="s">
        <v>510</v>
      </c>
    </row>
    <row r="202" spans="1:7">
      <c r="A202" s="99" t="s">
        <v>1155</v>
      </c>
      <c r="B202" s="113">
        <v>-300500</v>
      </c>
      <c r="C202" s="99">
        <v>0</v>
      </c>
      <c r="D202" s="99">
        <f t="shared" si="8"/>
        <v>398</v>
      </c>
      <c r="E202" s="99">
        <f t="shared" si="7"/>
        <v>0</v>
      </c>
      <c r="F202" s="99">
        <f t="shared" si="5"/>
        <v>-119599000</v>
      </c>
      <c r="G202" s="99" t="s">
        <v>1159</v>
      </c>
    </row>
    <row r="203" spans="1:7">
      <c r="A203" s="99" t="s">
        <v>1155</v>
      </c>
      <c r="B203" s="113">
        <v>6000000</v>
      </c>
      <c r="C203" s="99">
        <v>2</v>
      </c>
      <c r="D203" s="99">
        <f t="shared" si="8"/>
        <v>398</v>
      </c>
      <c r="E203" s="99">
        <f t="shared" si="7"/>
        <v>1</v>
      </c>
      <c r="F203" s="99">
        <f t="shared" si="5"/>
        <v>2382000000</v>
      </c>
      <c r="G203" s="99" t="s">
        <v>1160</v>
      </c>
    </row>
    <row r="204" spans="1:7">
      <c r="A204" s="99" t="s">
        <v>1164</v>
      </c>
      <c r="B204" s="113">
        <v>-685000</v>
      </c>
      <c r="C204" s="99">
        <v>1</v>
      </c>
      <c r="D204" s="99">
        <f t="shared" si="8"/>
        <v>396</v>
      </c>
      <c r="E204" s="99">
        <f t="shared" si="7"/>
        <v>0</v>
      </c>
      <c r="F204" s="99">
        <f t="shared" si="5"/>
        <v>-271260000</v>
      </c>
      <c r="G204" s="99" t="s">
        <v>1165</v>
      </c>
    </row>
    <row r="205" spans="1:7">
      <c r="A205" s="99" t="s">
        <v>1166</v>
      </c>
      <c r="B205" s="113">
        <v>-3000000</v>
      </c>
      <c r="C205" s="99">
        <v>1</v>
      </c>
      <c r="D205" s="99">
        <f t="shared" si="8"/>
        <v>395</v>
      </c>
      <c r="E205" s="99">
        <f t="shared" si="7"/>
        <v>0</v>
      </c>
      <c r="F205" s="99">
        <f t="shared" si="5"/>
        <v>-1185000000</v>
      </c>
      <c r="G205" s="99" t="s">
        <v>724</v>
      </c>
    </row>
    <row r="206" spans="1:7">
      <c r="A206" s="99" t="s">
        <v>1171</v>
      </c>
      <c r="B206" s="113">
        <v>-156000</v>
      </c>
      <c r="C206" s="99">
        <v>1</v>
      </c>
      <c r="D206" s="99">
        <f t="shared" si="8"/>
        <v>394</v>
      </c>
      <c r="E206" s="99">
        <f t="shared" si="7"/>
        <v>0</v>
      </c>
      <c r="F206" s="99">
        <f t="shared" si="5"/>
        <v>-61464000</v>
      </c>
      <c r="G206" s="99" t="s">
        <v>1172</v>
      </c>
    </row>
    <row r="207" spans="1:7">
      <c r="A207" s="99" t="s">
        <v>1174</v>
      </c>
      <c r="B207" s="113">
        <v>-66000</v>
      </c>
      <c r="C207" s="99">
        <v>1</v>
      </c>
      <c r="D207" s="99">
        <f t="shared" si="8"/>
        <v>393</v>
      </c>
      <c r="E207" s="99">
        <f t="shared" si="7"/>
        <v>0</v>
      </c>
      <c r="F207" s="99">
        <f t="shared" si="5"/>
        <v>-25938000</v>
      </c>
      <c r="G207" s="99" t="s">
        <v>1179</v>
      </c>
    </row>
    <row r="208" spans="1:7">
      <c r="A208" s="99" t="s">
        <v>1180</v>
      </c>
      <c r="B208" s="113">
        <v>-2500900</v>
      </c>
      <c r="C208" s="99">
        <v>2</v>
      </c>
      <c r="D208" s="99">
        <f t="shared" si="8"/>
        <v>392</v>
      </c>
      <c r="E208" s="99">
        <f t="shared" si="7"/>
        <v>0</v>
      </c>
      <c r="F208" s="99">
        <f t="shared" si="5"/>
        <v>-980352800</v>
      </c>
      <c r="G208" s="99" t="s">
        <v>1187</v>
      </c>
    </row>
    <row r="209" spans="1:7">
      <c r="A209" s="99" t="s">
        <v>1196</v>
      </c>
      <c r="B209" s="113">
        <v>3000000</v>
      </c>
      <c r="C209" s="99">
        <v>0</v>
      </c>
      <c r="D209" s="99">
        <f t="shared" si="8"/>
        <v>390</v>
      </c>
      <c r="E209" s="99">
        <f t="shared" si="7"/>
        <v>1</v>
      </c>
      <c r="F209" s="99">
        <f t="shared" si="5"/>
        <v>1167000000</v>
      </c>
      <c r="G209" s="99" t="s">
        <v>1202</v>
      </c>
    </row>
    <row r="210" spans="1:7">
      <c r="A210" s="99" t="s">
        <v>1196</v>
      </c>
      <c r="B210" s="113">
        <v>-2601400</v>
      </c>
      <c r="C210" s="99">
        <v>2</v>
      </c>
      <c r="D210" s="99">
        <f t="shared" si="8"/>
        <v>390</v>
      </c>
      <c r="E210" s="99">
        <f t="shared" si="7"/>
        <v>0</v>
      </c>
      <c r="F210" s="99">
        <f t="shared" si="5"/>
        <v>-1014546000</v>
      </c>
      <c r="G210" s="99" t="s">
        <v>1203</v>
      </c>
    </row>
    <row r="211" spans="1:7">
      <c r="A211" s="99" t="s">
        <v>1205</v>
      </c>
      <c r="B211" s="113">
        <v>1000000</v>
      </c>
      <c r="C211" s="99">
        <v>2</v>
      </c>
      <c r="D211" s="99">
        <f t="shared" si="8"/>
        <v>388</v>
      </c>
      <c r="E211" s="99">
        <f t="shared" si="7"/>
        <v>1</v>
      </c>
      <c r="F211" s="99">
        <f t="shared" si="5"/>
        <v>387000000</v>
      </c>
      <c r="G211" s="99" t="s">
        <v>1202</v>
      </c>
    </row>
    <row r="212" spans="1:7">
      <c r="A212" s="99" t="s">
        <v>1208</v>
      </c>
      <c r="B212" s="113">
        <v>1350000</v>
      </c>
      <c r="C212" s="99">
        <v>1</v>
      </c>
      <c r="D212" s="99">
        <f t="shared" si="8"/>
        <v>386</v>
      </c>
      <c r="E212" s="99">
        <f t="shared" si="7"/>
        <v>1</v>
      </c>
      <c r="F212" s="99">
        <f t="shared" si="5"/>
        <v>519750000</v>
      </c>
      <c r="G212" s="99" t="s">
        <v>1211</v>
      </c>
    </row>
    <row r="213" spans="1:7">
      <c r="A213" s="99" t="s">
        <v>1214</v>
      </c>
      <c r="B213" s="113">
        <v>-2200000</v>
      </c>
      <c r="C213" s="99">
        <v>0</v>
      </c>
      <c r="D213" s="99">
        <f t="shared" si="8"/>
        <v>385</v>
      </c>
      <c r="E213" s="99">
        <f t="shared" si="7"/>
        <v>0</v>
      </c>
      <c r="F213" s="99">
        <f t="shared" si="5"/>
        <v>-847000000</v>
      </c>
      <c r="G213" s="99" t="s">
        <v>1215</v>
      </c>
    </row>
    <row r="214" spans="1:7">
      <c r="A214" s="99" t="s">
        <v>1212</v>
      </c>
      <c r="B214" s="113">
        <v>-500500</v>
      </c>
      <c r="C214" s="99">
        <v>3</v>
      </c>
      <c r="D214" s="99">
        <f t="shared" si="8"/>
        <v>385</v>
      </c>
      <c r="E214" s="99">
        <f t="shared" si="7"/>
        <v>0</v>
      </c>
      <c r="F214" s="99">
        <f t="shared" si="5"/>
        <v>-192692500</v>
      </c>
      <c r="G214" s="99" t="s">
        <v>1219</v>
      </c>
    </row>
    <row r="215" spans="1:7">
      <c r="A215" s="99" t="s">
        <v>1222</v>
      </c>
      <c r="B215" s="113">
        <v>-45000</v>
      </c>
      <c r="C215" s="99">
        <v>0</v>
      </c>
      <c r="D215" s="99">
        <f t="shared" si="8"/>
        <v>382</v>
      </c>
      <c r="E215" s="99">
        <f t="shared" si="7"/>
        <v>0</v>
      </c>
      <c r="F215" s="99">
        <f t="shared" si="5"/>
        <v>-17190000</v>
      </c>
      <c r="G215" s="99" t="s">
        <v>1225</v>
      </c>
    </row>
    <row r="216" spans="1:7">
      <c r="A216" s="99" t="s">
        <v>1222</v>
      </c>
      <c r="B216" s="113">
        <v>1000000</v>
      </c>
      <c r="C216" s="99">
        <v>0</v>
      </c>
      <c r="D216" s="99">
        <f t="shared" si="8"/>
        <v>382</v>
      </c>
      <c r="E216" s="99">
        <f t="shared" si="7"/>
        <v>1</v>
      </c>
      <c r="F216" s="99">
        <f t="shared" si="5"/>
        <v>381000000</v>
      </c>
      <c r="G216" s="99" t="s">
        <v>1226</v>
      </c>
    </row>
    <row r="217" spans="1:7">
      <c r="A217" s="99" t="s">
        <v>1222</v>
      </c>
      <c r="B217" s="113">
        <v>-100000</v>
      </c>
      <c r="C217" s="99">
        <v>1</v>
      </c>
      <c r="D217" s="99">
        <f t="shared" si="8"/>
        <v>382</v>
      </c>
      <c r="E217" s="99">
        <f t="shared" si="7"/>
        <v>0</v>
      </c>
      <c r="F217" s="99">
        <f t="shared" si="5"/>
        <v>-38200000</v>
      </c>
      <c r="G217" s="99" t="s">
        <v>502</v>
      </c>
    </row>
    <row r="218" spans="1:7">
      <c r="A218" s="99" t="s">
        <v>1228</v>
      </c>
      <c r="B218" s="113">
        <v>-300000</v>
      </c>
      <c r="C218" s="99">
        <v>3</v>
      </c>
      <c r="D218" s="99">
        <f t="shared" si="8"/>
        <v>381</v>
      </c>
      <c r="E218" s="99">
        <f t="shared" si="7"/>
        <v>0</v>
      </c>
      <c r="F218" s="99">
        <f t="shared" si="5"/>
        <v>-114300000</v>
      </c>
      <c r="G218" s="99" t="s">
        <v>1229</v>
      </c>
    </row>
    <row r="219" spans="1:7">
      <c r="A219" s="99" t="s">
        <v>1241</v>
      </c>
      <c r="B219" s="113">
        <v>-50910</v>
      </c>
      <c r="C219" s="99">
        <v>0</v>
      </c>
      <c r="D219" s="99">
        <f t="shared" si="8"/>
        <v>378</v>
      </c>
      <c r="E219" s="99">
        <f t="shared" si="7"/>
        <v>0</v>
      </c>
      <c r="F219" s="99">
        <f t="shared" si="5"/>
        <v>-19243980</v>
      </c>
      <c r="G219" s="99" t="s">
        <v>1242</v>
      </c>
    </row>
    <row r="220" spans="1:7">
      <c r="A220" s="99" t="s">
        <v>1241</v>
      </c>
      <c r="B220" s="113">
        <v>-550500</v>
      </c>
      <c r="C220" s="99">
        <v>2</v>
      </c>
      <c r="D220" s="99">
        <f t="shared" si="8"/>
        <v>378</v>
      </c>
      <c r="E220" s="99">
        <f t="shared" si="7"/>
        <v>0</v>
      </c>
      <c r="F220" s="99">
        <f t="shared" si="5"/>
        <v>-208089000</v>
      </c>
      <c r="G220" s="99" t="s">
        <v>1243</v>
      </c>
    </row>
    <row r="221" spans="1:7">
      <c r="A221" s="99" t="s">
        <v>3659</v>
      </c>
      <c r="B221" s="113">
        <v>1600000</v>
      </c>
      <c r="C221" s="99">
        <v>1</v>
      </c>
      <c r="D221" s="99">
        <f t="shared" si="8"/>
        <v>376</v>
      </c>
      <c r="E221" s="99">
        <f t="shared" si="7"/>
        <v>1</v>
      </c>
      <c r="F221" s="99">
        <f t="shared" si="5"/>
        <v>600000000</v>
      </c>
      <c r="G221" s="99" t="s">
        <v>3660</v>
      </c>
    </row>
    <row r="222" spans="1:7">
      <c r="A222" s="99" t="s">
        <v>3661</v>
      </c>
      <c r="B222" s="113">
        <v>-1500700</v>
      </c>
      <c r="C222" s="99">
        <v>5</v>
      </c>
      <c r="D222" s="99">
        <f t="shared" si="8"/>
        <v>375</v>
      </c>
      <c r="E222" s="99">
        <f t="shared" si="7"/>
        <v>0</v>
      </c>
      <c r="F222" s="99">
        <f t="shared" si="5"/>
        <v>-562762500</v>
      </c>
      <c r="G222" s="99" t="s">
        <v>3663</v>
      </c>
    </row>
    <row r="223" spans="1:7">
      <c r="A223" s="99" t="s">
        <v>3671</v>
      </c>
      <c r="B223" s="113">
        <v>8619</v>
      </c>
      <c r="C223" s="99">
        <v>3</v>
      </c>
      <c r="D223" s="99">
        <f t="shared" si="8"/>
        <v>370</v>
      </c>
      <c r="E223" s="99">
        <f t="shared" si="7"/>
        <v>1</v>
      </c>
      <c r="F223" s="99">
        <f t="shared" si="5"/>
        <v>3180411</v>
      </c>
      <c r="G223" s="99" t="s">
        <v>3674</v>
      </c>
    </row>
    <row r="224" spans="1:7">
      <c r="A224" s="11" t="s">
        <v>3678</v>
      </c>
      <c r="B224" s="3">
        <v>3000000</v>
      </c>
      <c r="C224" s="11">
        <v>2</v>
      </c>
      <c r="D224" s="99">
        <f t="shared" si="8"/>
        <v>367</v>
      </c>
      <c r="E224" s="99">
        <f t="shared" si="7"/>
        <v>1</v>
      </c>
      <c r="F224" s="99">
        <f t="shared" si="5"/>
        <v>1098000000</v>
      </c>
      <c r="G224" s="11" t="s">
        <v>1202</v>
      </c>
    </row>
    <row r="225" spans="1:7">
      <c r="A225" s="11" t="s">
        <v>3694</v>
      </c>
      <c r="B225" s="3">
        <v>-3000900</v>
      </c>
      <c r="C225" s="11">
        <v>1</v>
      </c>
      <c r="D225" s="99">
        <f t="shared" si="8"/>
        <v>365</v>
      </c>
      <c r="E225" s="99">
        <f t="shared" si="7"/>
        <v>0</v>
      </c>
      <c r="F225" s="99">
        <f t="shared" si="5"/>
        <v>-1095328500</v>
      </c>
      <c r="G225" s="11" t="s">
        <v>3695</v>
      </c>
    </row>
    <row r="226" spans="1:7">
      <c r="A226" s="99" t="s">
        <v>3700</v>
      </c>
      <c r="B226" s="113">
        <v>3000000</v>
      </c>
      <c r="C226" s="99">
        <v>0</v>
      </c>
      <c r="D226" s="99">
        <f t="shared" si="8"/>
        <v>364</v>
      </c>
      <c r="E226" s="99">
        <f t="shared" si="7"/>
        <v>1</v>
      </c>
      <c r="F226" s="99">
        <f t="shared" si="5"/>
        <v>1089000000</v>
      </c>
      <c r="G226" s="99" t="s">
        <v>616</v>
      </c>
    </row>
    <row r="227" spans="1:7">
      <c r="A227" s="99" t="s">
        <v>3700</v>
      </c>
      <c r="B227" s="113">
        <v>-175400</v>
      </c>
      <c r="C227" s="99">
        <v>1</v>
      </c>
      <c r="D227" s="99">
        <f t="shared" si="8"/>
        <v>364</v>
      </c>
      <c r="E227" s="99">
        <f t="shared" si="7"/>
        <v>0</v>
      </c>
      <c r="F227" s="99">
        <f t="shared" si="5"/>
        <v>-63845600</v>
      </c>
      <c r="G227" s="99" t="s">
        <v>3701</v>
      </c>
    </row>
    <row r="228" spans="1:7">
      <c r="A228" s="99" t="s">
        <v>3704</v>
      </c>
      <c r="B228" s="113">
        <v>-1200500</v>
      </c>
      <c r="C228" s="99">
        <v>0</v>
      </c>
      <c r="D228" s="99">
        <f t="shared" si="8"/>
        <v>363</v>
      </c>
      <c r="E228" s="99">
        <f t="shared" si="7"/>
        <v>0</v>
      </c>
      <c r="F228" s="99">
        <f t="shared" si="5"/>
        <v>-435781500</v>
      </c>
      <c r="G228" s="99" t="s">
        <v>3705</v>
      </c>
    </row>
    <row r="229" spans="1:7">
      <c r="A229" s="99" t="s">
        <v>3704</v>
      </c>
      <c r="B229" s="113">
        <v>-20555</v>
      </c>
      <c r="C229" s="99">
        <v>1</v>
      </c>
      <c r="D229" s="99">
        <f t="shared" si="8"/>
        <v>363</v>
      </c>
      <c r="E229" s="99">
        <f t="shared" si="7"/>
        <v>0</v>
      </c>
      <c r="F229" s="99">
        <f t="shared" si="5"/>
        <v>-7461465</v>
      </c>
      <c r="G229" s="99" t="s">
        <v>655</v>
      </c>
    </row>
    <row r="230" spans="1:7">
      <c r="A230" s="99" t="s">
        <v>3707</v>
      </c>
      <c r="B230" s="113">
        <v>-1014466</v>
      </c>
      <c r="C230" s="99">
        <v>1</v>
      </c>
      <c r="D230" s="99">
        <f t="shared" si="8"/>
        <v>362</v>
      </c>
      <c r="E230" s="99">
        <f t="shared" si="7"/>
        <v>0</v>
      </c>
      <c r="F230" s="99">
        <f t="shared" si="5"/>
        <v>-367236692</v>
      </c>
      <c r="G230" s="99" t="s">
        <v>3708</v>
      </c>
    </row>
    <row r="231" spans="1:7">
      <c r="A231" s="99" t="s">
        <v>3715</v>
      </c>
      <c r="B231" s="113">
        <v>-24225</v>
      </c>
      <c r="C231" s="99">
        <v>1</v>
      </c>
      <c r="D231" s="99">
        <f t="shared" si="8"/>
        <v>361</v>
      </c>
      <c r="E231" s="99">
        <f t="shared" si="7"/>
        <v>0</v>
      </c>
      <c r="F231" s="99">
        <f t="shared" si="5"/>
        <v>-8745225</v>
      </c>
      <c r="G231" s="99" t="s">
        <v>655</v>
      </c>
    </row>
    <row r="232" spans="1:7">
      <c r="A232" s="99" t="s">
        <v>3716</v>
      </c>
      <c r="B232" s="113">
        <v>1100000</v>
      </c>
      <c r="C232" s="99">
        <v>0</v>
      </c>
      <c r="D232" s="99">
        <f t="shared" si="8"/>
        <v>360</v>
      </c>
      <c r="E232" s="99">
        <f t="shared" si="7"/>
        <v>1</v>
      </c>
      <c r="F232" s="99">
        <f t="shared" si="5"/>
        <v>394900000</v>
      </c>
      <c r="G232" s="99" t="s">
        <v>3717</v>
      </c>
    </row>
    <row r="233" spans="1:7">
      <c r="A233" s="99" t="s">
        <v>3716</v>
      </c>
      <c r="B233" s="113">
        <v>-147900</v>
      </c>
      <c r="C233" s="99">
        <v>4</v>
      </c>
      <c r="D233" s="99">
        <f t="shared" si="8"/>
        <v>360</v>
      </c>
      <c r="E233" s="99">
        <f t="shared" si="7"/>
        <v>0</v>
      </c>
      <c r="F233" s="99">
        <f t="shared" si="5"/>
        <v>-53244000</v>
      </c>
      <c r="G233" s="99" t="s">
        <v>3723</v>
      </c>
    </row>
    <row r="234" spans="1:7">
      <c r="A234" s="99" t="s">
        <v>3730</v>
      </c>
      <c r="B234" s="113">
        <v>-67965</v>
      </c>
      <c r="C234" s="99">
        <v>5</v>
      </c>
      <c r="D234" s="99">
        <f t="shared" si="8"/>
        <v>356</v>
      </c>
      <c r="E234" s="99">
        <f t="shared" si="7"/>
        <v>0</v>
      </c>
      <c r="F234" s="99">
        <f t="shared" si="5"/>
        <v>-24195540</v>
      </c>
      <c r="G234" s="99" t="s">
        <v>655</v>
      </c>
    </row>
    <row r="235" spans="1:7">
      <c r="A235" s="99" t="s">
        <v>3756</v>
      </c>
      <c r="B235" s="113">
        <v>-114734</v>
      </c>
      <c r="C235" s="99">
        <v>1</v>
      </c>
      <c r="D235" s="99">
        <f t="shared" si="8"/>
        <v>351</v>
      </c>
      <c r="E235" s="99">
        <f t="shared" si="7"/>
        <v>0</v>
      </c>
      <c r="F235" s="99">
        <f t="shared" si="5"/>
        <v>-40271634</v>
      </c>
      <c r="G235" s="99" t="s">
        <v>3757</v>
      </c>
    </row>
    <row r="236" spans="1:7">
      <c r="A236" s="99" t="s">
        <v>1143</v>
      </c>
      <c r="B236" s="113">
        <v>-360000</v>
      </c>
      <c r="C236" s="99">
        <v>0</v>
      </c>
      <c r="D236" s="99">
        <f t="shared" si="8"/>
        <v>350</v>
      </c>
      <c r="E236" s="99">
        <f t="shared" si="7"/>
        <v>0</v>
      </c>
      <c r="F236" s="99">
        <f t="shared" si="5"/>
        <v>-126000000</v>
      </c>
      <c r="G236" s="99" t="s">
        <v>3758</v>
      </c>
    </row>
    <row r="237" spans="1:7">
      <c r="A237" s="99" t="s">
        <v>1143</v>
      </c>
      <c r="B237" s="113">
        <v>-211000</v>
      </c>
      <c r="C237" s="99">
        <v>0</v>
      </c>
      <c r="D237" s="99">
        <f t="shared" si="8"/>
        <v>350</v>
      </c>
      <c r="E237" s="99">
        <f t="shared" si="7"/>
        <v>0</v>
      </c>
      <c r="F237" s="99">
        <f t="shared" si="5"/>
        <v>-73850000</v>
      </c>
      <c r="G237" s="99" t="s">
        <v>3760</v>
      </c>
    </row>
    <row r="238" spans="1:7">
      <c r="A238" s="99" t="s">
        <v>1143</v>
      </c>
      <c r="B238" s="113">
        <v>-189700</v>
      </c>
      <c r="C238" s="99">
        <v>1</v>
      </c>
      <c r="D238" s="99">
        <f t="shared" si="8"/>
        <v>350</v>
      </c>
      <c r="E238" s="99">
        <f t="shared" si="7"/>
        <v>0</v>
      </c>
      <c r="F238" s="99">
        <f t="shared" si="5"/>
        <v>-66395000</v>
      </c>
      <c r="G238" s="99" t="s">
        <v>3763</v>
      </c>
    </row>
    <row r="239" spans="1:7">
      <c r="A239" s="99" t="s">
        <v>3764</v>
      </c>
      <c r="B239" s="113">
        <v>-400500</v>
      </c>
      <c r="C239" s="99">
        <v>0</v>
      </c>
      <c r="D239" s="99">
        <f t="shared" si="8"/>
        <v>349</v>
      </c>
      <c r="E239" s="99">
        <f t="shared" si="7"/>
        <v>0</v>
      </c>
      <c r="F239" s="99">
        <f t="shared" si="5"/>
        <v>-139774500</v>
      </c>
      <c r="G239" s="99" t="s">
        <v>3765</v>
      </c>
    </row>
    <row r="240" spans="1:7">
      <c r="A240" s="99" t="s">
        <v>3764</v>
      </c>
      <c r="B240" s="113">
        <v>400000</v>
      </c>
      <c r="C240" s="99">
        <v>3</v>
      </c>
      <c r="D240" s="99">
        <f t="shared" si="8"/>
        <v>349</v>
      </c>
      <c r="E240" s="99">
        <f t="shared" si="7"/>
        <v>1</v>
      </c>
      <c r="F240" s="99">
        <f t="shared" si="5"/>
        <v>139200000</v>
      </c>
      <c r="G240" s="99" t="s">
        <v>3766</v>
      </c>
    </row>
    <row r="241" spans="1:7">
      <c r="A241" s="99" t="s">
        <v>3781</v>
      </c>
      <c r="B241" s="113">
        <v>-320875</v>
      </c>
      <c r="C241" s="99">
        <v>7</v>
      </c>
      <c r="D241" s="99">
        <f t="shared" si="8"/>
        <v>346</v>
      </c>
      <c r="E241" s="99">
        <f t="shared" si="7"/>
        <v>0</v>
      </c>
      <c r="F241" s="99">
        <f t="shared" si="5"/>
        <v>-111022750</v>
      </c>
      <c r="G241" s="99" t="s">
        <v>3782</v>
      </c>
    </row>
    <row r="242" spans="1:7">
      <c r="A242" s="99" t="s">
        <v>3791</v>
      </c>
      <c r="B242" s="113">
        <v>6074</v>
      </c>
      <c r="C242" s="99">
        <v>2</v>
      </c>
      <c r="D242" s="99">
        <f t="shared" si="8"/>
        <v>339</v>
      </c>
      <c r="E242" s="99">
        <f t="shared" si="7"/>
        <v>1</v>
      </c>
      <c r="F242" s="99">
        <f t="shared" si="5"/>
        <v>2053012</v>
      </c>
      <c r="G242" s="99" t="s">
        <v>585</v>
      </c>
    </row>
    <row r="243" spans="1:7">
      <c r="A243" s="99" t="s">
        <v>3793</v>
      </c>
      <c r="B243" s="113">
        <v>-370500</v>
      </c>
      <c r="C243" s="99">
        <v>15</v>
      </c>
      <c r="D243" s="99">
        <f t="shared" si="8"/>
        <v>337</v>
      </c>
      <c r="E243" s="99">
        <f t="shared" si="7"/>
        <v>0</v>
      </c>
      <c r="F243" s="99">
        <f t="shared" si="5"/>
        <v>-124858500</v>
      </c>
      <c r="G243" s="99" t="s">
        <v>3794</v>
      </c>
    </row>
    <row r="244" spans="1:7">
      <c r="A244" s="99" t="s">
        <v>3902</v>
      </c>
      <c r="B244" s="113">
        <v>3000000</v>
      </c>
      <c r="C244" s="99">
        <v>2</v>
      </c>
      <c r="D244" s="99">
        <f t="shared" si="8"/>
        <v>322</v>
      </c>
      <c r="E244" s="99">
        <f t="shared" si="7"/>
        <v>1</v>
      </c>
      <c r="F244" s="99">
        <f t="shared" si="5"/>
        <v>963000000</v>
      </c>
      <c r="G244" s="99" t="s">
        <v>3903</v>
      </c>
    </row>
    <row r="245" spans="1:7">
      <c r="A245" s="99" t="s">
        <v>3910</v>
      </c>
      <c r="B245" s="113">
        <v>-80000</v>
      </c>
      <c r="C245" s="99">
        <v>1</v>
      </c>
      <c r="D245" s="99">
        <f t="shared" si="8"/>
        <v>320</v>
      </c>
      <c r="E245" s="99">
        <f t="shared" si="7"/>
        <v>0</v>
      </c>
      <c r="F245" s="99">
        <f t="shared" si="5"/>
        <v>-25600000</v>
      </c>
      <c r="G245" s="99" t="s">
        <v>502</v>
      </c>
    </row>
    <row r="246" spans="1:7">
      <c r="A246" s="99" t="s">
        <v>3911</v>
      </c>
      <c r="B246" s="113">
        <v>-2700000</v>
      </c>
      <c r="C246" s="99">
        <v>0</v>
      </c>
      <c r="D246" s="99">
        <f t="shared" si="8"/>
        <v>319</v>
      </c>
      <c r="E246" s="99">
        <f t="shared" si="7"/>
        <v>0</v>
      </c>
      <c r="F246" s="99">
        <f t="shared" si="5"/>
        <v>-861300000</v>
      </c>
      <c r="G246" s="99" t="s">
        <v>3913</v>
      </c>
    </row>
    <row r="247" spans="1:7">
      <c r="A247" s="99" t="s">
        <v>3911</v>
      </c>
      <c r="B247" s="113">
        <v>-30000</v>
      </c>
      <c r="C247" s="99">
        <v>2</v>
      </c>
      <c r="D247" s="99">
        <f t="shared" si="8"/>
        <v>319</v>
      </c>
      <c r="E247" s="99">
        <f t="shared" si="7"/>
        <v>0</v>
      </c>
      <c r="F247" s="99">
        <f t="shared" si="5"/>
        <v>-9570000</v>
      </c>
      <c r="G247" s="99" t="s">
        <v>3913</v>
      </c>
    </row>
    <row r="248" spans="1:7">
      <c r="A248" s="99" t="s">
        <v>3917</v>
      </c>
      <c r="B248" s="113">
        <v>-120000</v>
      </c>
      <c r="C248" s="99">
        <v>1</v>
      </c>
      <c r="D248" s="99">
        <f t="shared" si="8"/>
        <v>317</v>
      </c>
      <c r="E248" s="99">
        <f t="shared" si="7"/>
        <v>0</v>
      </c>
      <c r="F248" s="99">
        <f t="shared" si="5"/>
        <v>-38040000</v>
      </c>
      <c r="G248" s="99" t="s">
        <v>3918</v>
      </c>
    </row>
    <row r="249" spans="1:7">
      <c r="A249" s="74" t="s">
        <v>3935</v>
      </c>
      <c r="B249" s="163">
        <v>-56425</v>
      </c>
      <c r="C249" s="99">
        <v>1</v>
      </c>
      <c r="D249" s="99">
        <f t="shared" si="8"/>
        <v>316</v>
      </c>
      <c r="E249" s="99">
        <f>IF(B250&gt;0,1,0)</f>
        <v>1</v>
      </c>
      <c r="F249" s="99">
        <f>B250*(D249-E249)</f>
        <v>252000000</v>
      </c>
      <c r="G249" s="74" t="s">
        <v>655</v>
      </c>
    </row>
    <row r="250" spans="1:7">
      <c r="A250" s="99" t="s">
        <v>3925</v>
      </c>
      <c r="B250" s="113">
        <v>800000</v>
      </c>
      <c r="C250" s="99">
        <v>1</v>
      </c>
      <c r="D250" s="99">
        <f t="shared" si="8"/>
        <v>315</v>
      </c>
      <c r="E250" s="99">
        <f>IF(B251&gt;0,1,0)</f>
        <v>0</v>
      </c>
      <c r="F250" s="99">
        <f>B251*(D250-E250)</f>
        <v>-6126750</v>
      </c>
      <c r="G250" s="99" t="s">
        <v>3890</v>
      </c>
    </row>
    <row r="251" spans="1:7">
      <c r="A251" s="99" t="s">
        <v>3930</v>
      </c>
      <c r="B251" s="113">
        <v>-19450</v>
      </c>
      <c r="C251" s="99">
        <v>0</v>
      </c>
      <c r="D251" s="99">
        <f t="shared" si="8"/>
        <v>314</v>
      </c>
      <c r="E251" s="99">
        <f>IF(B252&gt;0,1,0)</f>
        <v>0</v>
      </c>
      <c r="F251" s="99">
        <f>B252*(D251-E251)</f>
        <v>-157000000</v>
      </c>
      <c r="G251" s="99" t="s">
        <v>3933</v>
      </c>
    </row>
    <row r="252" spans="1:7">
      <c r="A252" s="99" t="s">
        <v>3930</v>
      </c>
      <c r="B252" s="113">
        <v>-500000</v>
      </c>
      <c r="C252" s="99">
        <v>0</v>
      </c>
      <c r="D252" s="99">
        <f t="shared" si="8"/>
        <v>314</v>
      </c>
      <c r="E252" s="99">
        <f>IF(B253&gt;0,1,0)</f>
        <v>1</v>
      </c>
      <c r="F252" s="99">
        <f>B253*(D252-E252)</f>
        <v>156500000</v>
      </c>
      <c r="G252" s="99" t="s">
        <v>3934</v>
      </c>
    </row>
    <row r="253" spans="1:7">
      <c r="A253" s="99" t="s">
        <v>3930</v>
      </c>
      <c r="B253" s="113">
        <v>500000</v>
      </c>
      <c r="C253" s="99">
        <v>0</v>
      </c>
      <c r="D253" s="99">
        <f t="shared" si="8"/>
        <v>314</v>
      </c>
      <c r="E253" s="99">
        <f t="shared" ref="E253:E275" si="9">IF(B254&gt;0,1,0)</f>
        <v>0</v>
      </c>
      <c r="F253" s="99">
        <f>B254*(D253-E253)</f>
        <v>-142748482</v>
      </c>
      <c r="G253" s="99" t="s">
        <v>3934</v>
      </c>
    </row>
    <row r="254" spans="1:7">
      <c r="A254" s="99" t="s">
        <v>3930</v>
      </c>
      <c r="B254" s="113">
        <v>-454613</v>
      </c>
      <c r="C254" s="99">
        <v>1</v>
      </c>
      <c r="D254" s="99">
        <f t="shared" si="8"/>
        <v>314</v>
      </c>
      <c r="E254" s="99">
        <f t="shared" si="9"/>
        <v>0</v>
      </c>
      <c r="F254" s="99">
        <f t="shared" ref="F254:F275" si="10">B255*(D254-E254)</f>
        <v>-6154400</v>
      </c>
      <c r="G254" s="99" t="s">
        <v>3936</v>
      </c>
    </row>
    <row r="255" spans="1:7">
      <c r="A255" s="99" t="s">
        <v>3938</v>
      </c>
      <c r="B255" s="113">
        <v>-19600</v>
      </c>
      <c r="C255" s="99">
        <v>0</v>
      </c>
      <c r="D255" s="99">
        <f t="shared" si="8"/>
        <v>313</v>
      </c>
      <c r="E255" s="99">
        <f t="shared" si="9"/>
        <v>0</v>
      </c>
      <c r="F255" s="99">
        <f t="shared" si="10"/>
        <v>-7893860</v>
      </c>
      <c r="G255" s="99" t="s">
        <v>3940</v>
      </c>
    </row>
    <row r="256" spans="1:7">
      <c r="A256" s="99" t="s">
        <v>3938</v>
      </c>
      <c r="B256" s="113">
        <v>-25220</v>
      </c>
      <c r="C256" s="99">
        <v>1</v>
      </c>
      <c r="D256" s="99">
        <f t="shared" si="8"/>
        <v>313</v>
      </c>
      <c r="E256" s="99">
        <f t="shared" si="9"/>
        <v>0</v>
      </c>
      <c r="F256" s="99">
        <f t="shared" si="10"/>
        <v>-46793500</v>
      </c>
      <c r="G256" s="99" t="s">
        <v>3757</v>
      </c>
    </row>
    <row r="257" spans="1:11">
      <c r="A257" s="99" t="s">
        <v>3942</v>
      </c>
      <c r="B257" s="113">
        <v>-149500</v>
      </c>
      <c r="C257" s="99">
        <v>0</v>
      </c>
      <c r="D257" s="99">
        <f t="shared" si="8"/>
        <v>312</v>
      </c>
      <c r="E257" s="99">
        <f t="shared" si="9"/>
        <v>0</v>
      </c>
      <c r="F257" s="99">
        <f t="shared" si="10"/>
        <v>-48360000</v>
      </c>
      <c r="G257" s="99" t="s">
        <v>3943</v>
      </c>
    </row>
    <row r="258" spans="1:11">
      <c r="A258" s="99" t="s">
        <v>3942</v>
      </c>
      <c r="B258" s="113">
        <v>-155000</v>
      </c>
      <c r="C258" s="99">
        <v>82</v>
      </c>
      <c r="D258" s="99">
        <f t="shared" si="8"/>
        <v>312</v>
      </c>
      <c r="E258" s="99">
        <f t="shared" si="9"/>
        <v>0</v>
      </c>
      <c r="F258" s="99">
        <f t="shared" si="10"/>
        <v>-1560000</v>
      </c>
      <c r="G258" s="99" t="s">
        <v>3944</v>
      </c>
    </row>
    <row r="259" spans="1:11">
      <c r="A259" s="99" t="s">
        <v>4239</v>
      </c>
      <c r="B259" s="113">
        <v>-5000</v>
      </c>
      <c r="C259" s="99">
        <v>82</v>
      </c>
      <c r="D259" s="99">
        <f t="shared" si="8"/>
        <v>230</v>
      </c>
      <c r="E259" s="99">
        <f t="shared" si="9"/>
        <v>1</v>
      </c>
      <c r="F259" s="99">
        <f t="shared" si="10"/>
        <v>22900000</v>
      </c>
      <c r="G259" s="99" t="s">
        <v>4246</v>
      </c>
    </row>
    <row r="260" spans="1:11">
      <c r="A260" s="99" t="s">
        <v>4567</v>
      </c>
      <c r="B260" s="113">
        <v>100000</v>
      </c>
      <c r="C260" s="99">
        <v>1</v>
      </c>
      <c r="D260" s="99">
        <f t="shared" si="8"/>
        <v>148</v>
      </c>
      <c r="E260" s="99">
        <f t="shared" si="9"/>
        <v>1</v>
      </c>
      <c r="F260" s="99">
        <f t="shared" si="10"/>
        <v>441000000</v>
      </c>
      <c r="G260" s="99" t="s">
        <v>3890</v>
      </c>
    </row>
    <row r="261" spans="1:11">
      <c r="A261" s="99" t="s">
        <v>993</v>
      </c>
      <c r="B261" s="113">
        <v>3000000</v>
      </c>
      <c r="C261" s="99">
        <v>3</v>
      </c>
      <c r="D261" s="99">
        <f t="shared" si="8"/>
        <v>147</v>
      </c>
      <c r="E261" s="99">
        <f t="shared" si="9"/>
        <v>0</v>
      </c>
      <c r="F261" s="99">
        <f t="shared" si="10"/>
        <v>-9775500</v>
      </c>
      <c r="G261" s="99" t="s">
        <v>3890</v>
      </c>
    </row>
    <row r="262" spans="1:11">
      <c r="A262" s="99" t="s">
        <v>4579</v>
      </c>
      <c r="B262" s="113">
        <v>-66500</v>
      </c>
      <c r="C262" s="99">
        <v>2</v>
      </c>
      <c r="D262" s="99">
        <f t="shared" si="8"/>
        <v>144</v>
      </c>
      <c r="E262" s="99">
        <f t="shared" si="9"/>
        <v>0</v>
      </c>
      <c r="F262" s="99">
        <f t="shared" si="10"/>
        <v>-5454432</v>
      </c>
      <c r="G262" s="99" t="s">
        <v>3963</v>
      </c>
      <c r="K262" t="s">
        <v>25</v>
      </c>
    </row>
    <row r="263" spans="1:11">
      <c r="A263" s="99" t="s">
        <v>4580</v>
      </c>
      <c r="B263" s="113">
        <v>-37878</v>
      </c>
      <c r="C263" s="99">
        <v>2</v>
      </c>
      <c r="D263" s="99">
        <f t="shared" si="8"/>
        <v>142</v>
      </c>
      <c r="E263" s="99">
        <f t="shared" si="9"/>
        <v>0</v>
      </c>
      <c r="F263" s="99">
        <f t="shared" si="10"/>
        <v>-5893000</v>
      </c>
      <c r="G263" s="99" t="s">
        <v>4581</v>
      </c>
      <c r="J263" t="s">
        <v>25</v>
      </c>
      <c r="K263" t="s">
        <v>25</v>
      </c>
    </row>
    <row r="264" spans="1:11">
      <c r="A264" s="99" t="s">
        <v>4576</v>
      </c>
      <c r="B264" s="113">
        <v>-41500</v>
      </c>
      <c r="C264" s="99">
        <v>3</v>
      </c>
      <c r="D264" s="99">
        <f t="shared" si="8"/>
        <v>140</v>
      </c>
      <c r="E264" s="99">
        <f t="shared" si="9"/>
        <v>0</v>
      </c>
      <c r="F264" s="99">
        <f t="shared" si="10"/>
        <v>-26600000</v>
      </c>
      <c r="G264" s="99" t="s">
        <v>1038</v>
      </c>
      <c r="J264" t="s">
        <v>25</v>
      </c>
    </row>
    <row r="265" spans="1:11">
      <c r="A265" s="99" t="s">
        <v>4607</v>
      </c>
      <c r="B265" s="113">
        <v>-190000</v>
      </c>
      <c r="C265" s="99">
        <v>1</v>
      </c>
      <c r="D265" s="99">
        <f t="shared" si="8"/>
        <v>137</v>
      </c>
      <c r="E265" s="99">
        <f t="shared" si="9"/>
        <v>0</v>
      </c>
      <c r="F265" s="99">
        <f t="shared" si="10"/>
        <v>-7535000</v>
      </c>
      <c r="G265" s="99"/>
    </row>
    <row r="266" spans="1:11">
      <c r="A266" s="99" t="s">
        <v>4606</v>
      </c>
      <c r="B266" s="113">
        <v>-55000</v>
      </c>
      <c r="C266" s="99">
        <v>1</v>
      </c>
      <c r="D266" s="99">
        <f t="shared" si="8"/>
        <v>136</v>
      </c>
      <c r="E266" s="99">
        <f t="shared" si="9"/>
        <v>0</v>
      </c>
      <c r="F266" s="99">
        <f t="shared" si="10"/>
        <v>-3997720</v>
      </c>
      <c r="G266" s="99"/>
    </row>
    <row r="267" spans="1:11">
      <c r="A267" s="99" t="s">
        <v>4595</v>
      </c>
      <c r="B267" s="113">
        <v>-29395</v>
      </c>
      <c r="C267" s="99">
        <v>2</v>
      </c>
      <c r="D267" s="99">
        <f t="shared" si="8"/>
        <v>135</v>
      </c>
      <c r="E267" s="99">
        <f t="shared" si="9"/>
        <v>0</v>
      </c>
      <c r="F267" s="99">
        <f t="shared" si="10"/>
        <v>-6750000</v>
      </c>
      <c r="G267" s="99"/>
    </row>
    <row r="268" spans="1:11">
      <c r="A268" s="99" t="s">
        <v>4232</v>
      </c>
      <c r="B268" s="113">
        <v>-50000</v>
      </c>
      <c r="C268" s="99">
        <v>1</v>
      </c>
      <c r="D268" s="99">
        <f t="shared" si="8"/>
        <v>133</v>
      </c>
      <c r="E268" s="99">
        <f t="shared" si="9"/>
        <v>0</v>
      </c>
      <c r="F268" s="99">
        <f t="shared" si="10"/>
        <v>-10640000</v>
      </c>
      <c r="G268" s="99"/>
    </row>
    <row r="269" spans="1:11">
      <c r="A269" s="99" t="s">
        <v>4609</v>
      </c>
      <c r="B269" s="113">
        <v>-80000</v>
      </c>
      <c r="C269" s="99">
        <v>1</v>
      </c>
      <c r="D269" s="99">
        <f t="shared" si="8"/>
        <v>132</v>
      </c>
      <c r="E269" s="99">
        <f t="shared" si="9"/>
        <v>0</v>
      </c>
      <c r="F269" s="99">
        <f t="shared" si="10"/>
        <v>-13055988</v>
      </c>
      <c r="G269" s="99"/>
    </row>
    <row r="270" spans="1:11">
      <c r="A270" s="99" t="s">
        <v>3690</v>
      </c>
      <c r="B270" s="113">
        <v>-98909</v>
      </c>
      <c r="C270" s="99">
        <v>3</v>
      </c>
      <c r="D270" s="99">
        <f t="shared" si="8"/>
        <v>131</v>
      </c>
      <c r="E270" s="99">
        <f t="shared" si="9"/>
        <v>0</v>
      </c>
      <c r="F270" s="99">
        <f t="shared" si="10"/>
        <v>-1228780</v>
      </c>
      <c r="G270" s="99"/>
    </row>
    <row r="271" spans="1:11">
      <c r="A271" s="99" t="s">
        <v>4614</v>
      </c>
      <c r="B271" s="113">
        <v>-9380</v>
      </c>
      <c r="C271" s="99">
        <v>0</v>
      </c>
      <c r="D271" s="99">
        <f t="shared" si="8"/>
        <v>128</v>
      </c>
      <c r="E271" s="99">
        <f t="shared" si="9"/>
        <v>0</v>
      </c>
      <c r="F271" s="99">
        <f t="shared" si="10"/>
        <v>-307200000</v>
      </c>
      <c r="G271" s="99"/>
    </row>
    <row r="272" spans="1:11">
      <c r="A272" s="99" t="s">
        <v>4614</v>
      </c>
      <c r="B272" s="113">
        <v>-2400000</v>
      </c>
      <c r="C272" s="99">
        <v>3</v>
      </c>
      <c r="D272" s="99">
        <f t="shared" si="8"/>
        <v>128</v>
      </c>
      <c r="E272" s="99">
        <f t="shared" si="9"/>
        <v>1</v>
      </c>
      <c r="F272" s="99">
        <f t="shared" si="10"/>
        <v>1905000</v>
      </c>
      <c r="G272" s="99"/>
    </row>
    <row r="273" spans="1:11">
      <c r="A273" s="99" t="s">
        <v>4624</v>
      </c>
      <c r="B273" s="113">
        <v>15000</v>
      </c>
      <c r="C273" s="99">
        <v>93</v>
      </c>
      <c r="D273" s="99">
        <f t="shared" si="8"/>
        <v>125</v>
      </c>
      <c r="E273" s="99">
        <f t="shared" si="9"/>
        <v>1</v>
      </c>
      <c r="F273" s="99">
        <f t="shared" si="10"/>
        <v>434000000</v>
      </c>
      <c r="G273" s="99"/>
    </row>
    <row r="274" spans="1:11">
      <c r="A274" s="99" t="s">
        <v>4925</v>
      </c>
      <c r="B274" s="113">
        <v>3500000</v>
      </c>
      <c r="C274" s="99">
        <v>0</v>
      </c>
      <c r="D274" s="99">
        <f t="shared" si="8"/>
        <v>32</v>
      </c>
      <c r="E274" s="99">
        <f t="shared" si="9"/>
        <v>0</v>
      </c>
      <c r="F274" s="99">
        <f t="shared" si="10"/>
        <v>-7168384</v>
      </c>
      <c r="G274" s="99"/>
    </row>
    <row r="275" spans="1:11">
      <c r="A275" s="99" t="s">
        <v>4925</v>
      </c>
      <c r="B275" s="113">
        <v>-224012</v>
      </c>
      <c r="C275" s="99">
        <v>2</v>
      </c>
      <c r="D275" s="99">
        <f t="shared" si="8"/>
        <v>32</v>
      </c>
      <c r="E275" s="99">
        <f t="shared" si="9"/>
        <v>0</v>
      </c>
      <c r="F275" s="99">
        <f t="shared" si="10"/>
        <v>-3349472</v>
      </c>
      <c r="G275" s="99"/>
    </row>
    <row r="276" spans="1:11">
      <c r="A276" s="99" t="s">
        <v>4946</v>
      </c>
      <c r="B276" s="113">
        <v>-104671</v>
      </c>
      <c r="C276" s="99">
        <v>1</v>
      </c>
      <c r="D276" s="99">
        <f t="shared" ref="D276:D280" si="11">D277+C276</f>
        <v>30</v>
      </c>
      <c r="E276" s="99">
        <f t="shared" ref="E276:E280" si="12">IF(B277&gt;0,1,0)</f>
        <v>0</v>
      </c>
      <c r="F276" s="99">
        <f t="shared" ref="F276:F280" si="13">B277*(D276-E276)</f>
        <v>-8160000</v>
      </c>
      <c r="G276" s="99"/>
    </row>
    <row r="277" spans="1:11">
      <c r="A277" s="99" t="s">
        <v>4948</v>
      </c>
      <c r="B277" s="113">
        <v>-272000</v>
      </c>
      <c r="C277" s="99">
        <v>1</v>
      </c>
      <c r="D277" s="99">
        <f t="shared" si="11"/>
        <v>29</v>
      </c>
      <c r="E277" s="99">
        <f t="shared" si="12"/>
        <v>0</v>
      </c>
      <c r="F277" s="99">
        <f t="shared" si="13"/>
        <v>-74387262</v>
      </c>
      <c r="G277" s="99"/>
    </row>
    <row r="278" spans="1:11">
      <c r="A278" s="99" t="s">
        <v>4950</v>
      </c>
      <c r="B278" s="113">
        <v>-2565078</v>
      </c>
      <c r="C278" s="99">
        <v>2</v>
      </c>
      <c r="D278" s="99">
        <f t="shared" si="11"/>
        <v>28</v>
      </c>
      <c r="E278" s="99">
        <f t="shared" si="12"/>
        <v>0</v>
      </c>
      <c r="F278" s="99">
        <f t="shared" si="13"/>
        <v>-5978000</v>
      </c>
      <c r="G278" s="99"/>
    </row>
    <row r="279" spans="1:11">
      <c r="A279" s="99" t="s">
        <v>4897</v>
      </c>
      <c r="B279" s="113">
        <v>-213500</v>
      </c>
      <c r="C279" s="99">
        <v>1</v>
      </c>
      <c r="D279" s="99">
        <f t="shared" si="11"/>
        <v>26</v>
      </c>
      <c r="E279" s="99">
        <f t="shared" si="12"/>
        <v>0</v>
      </c>
      <c r="F279" s="99">
        <f t="shared" si="13"/>
        <v>-99060</v>
      </c>
      <c r="G279" s="99"/>
    </row>
    <row r="280" spans="1:11">
      <c r="A280" s="99" t="s">
        <v>4967</v>
      </c>
      <c r="B280" s="113">
        <v>-3810</v>
      </c>
      <c r="C280" s="99">
        <v>1</v>
      </c>
      <c r="D280" s="99">
        <f t="shared" si="11"/>
        <v>25</v>
      </c>
      <c r="E280" s="99">
        <f t="shared" si="12"/>
        <v>0</v>
      </c>
      <c r="F280" s="99">
        <f t="shared" si="13"/>
        <v>-3015800</v>
      </c>
      <c r="G280" s="99"/>
      <c r="J280" t="s">
        <v>25</v>
      </c>
    </row>
    <row r="281" spans="1:11">
      <c r="A281" s="99" t="s">
        <v>4968</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4956</v>
      </c>
      <c r="B282" s="113">
        <v>80000</v>
      </c>
      <c r="C282" s="99">
        <v>0</v>
      </c>
      <c r="D282" s="99">
        <f t="shared" si="14"/>
        <v>23</v>
      </c>
      <c r="E282" s="99">
        <f t="shared" si="15"/>
        <v>0</v>
      </c>
      <c r="F282" s="99">
        <f t="shared" si="16"/>
        <v>-57500</v>
      </c>
      <c r="G282" s="99"/>
    </row>
    <row r="283" spans="1:11">
      <c r="A283" s="99" t="s">
        <v>4956</v>
      </c>
      <c r="B283" s="113">
        <v>-2500</v>
      </c>
      <c r="C283" s="99">
        <v>1</v>
      </c>
      <c r="D283" s="99">
        <f t="shared" si="14"/>
        <v>23</v>
      </c>
      <c r="E283" s="99">
        <f t="shared" si="15"/>
        <v>0</v>
      </c>
      <c r="F283" s="99">
        <f t="shared" si="16"/>
        <v>-690000</v>
      </c>
      <c r="G283" s="99"/>
      <c r="J283" s="114">
        <f>B315-498804</f>
        <v>-140500</v>
      </c>
    </row>
    <row r="284" spans="1:11">
      <c r="A284" s="99" t="s">
        <v>4961</v>
      </c>
      <c r="B284" s="113">
        <v>-30000</v>
      </c>
      <c r="C284" s="99">
        <v>1</v>
      </c>
      <c r="D284" s="99">
        <f t="shared" si="14"/>
        <v>22</v>
      </c>
      <c r="E284" s="99">
        <f t="shared" si="15"/>
        <v>0</v>
      </c>
      <c r="F284" s="99">
        <f t="shared" si="16"/>
        <v>-435600</v>
      </c>
      <c r="G284" s="99"/>
    </row>
    <row r="285" spans="1:11">
      <c r="A285" s="99" t="s">
        <v>4969</v>
      </c>
      <c r="B285" s="113">
        <v>-19800</v>
      </c>
      <c r="C285" s="99">
        <v>1</v>
      </c>
      <c r="D285" s="99">
        <f t="shared" si="14"/>
        <v>21</v>
      </c>
      <c r="E285" s="99">
        <f t="shared" si="15"/>
        <v>1</v>
      </c>
      <c r="F285" s="99">
        <f t="shared" si="16"/>
        <v>18800000</v>
      </c>
      <c r="G285" s="99"/>
      <c r="K285" t="s">
        <v>25</v>
      </c>
    </row>
    <row r="286" spans="1:11">
      <c r="A286" s="99" t="s">
        <v>4960</v>
      </c>
      <c r="B286" s="113">
        <v>940000</v>
      </c>
      <c r="C286" s="99">
        <v>0</v>
      </c>
      <c r="D286" s="99">
        <f t="shared" si="14"/>
        <v>20</v>
      </c>
      <c r="E286" s="99">
        <f t="shared" si="15"/>
        <v>0</v>
      </c>
      <c r="F286" s="99">
        <f t="shared" si="16"/>
        <v>-4020000</v>
      </c>
      <c r="G286" s="99"/>
    </row>
    <row r="287" spans="1:11">
      <c r="A287" s="99" t="s">
        <v>4960</v>
      </c>
      <c r="B287" s="113">
        <v>-201000</v>
      </c>
      <c r="C287" s="99">
        <v>1</v>
      </c>
      <c r="D287" s="99">
        <f t="shared" si="14"/>
        <v>20</v>
      </c>
      <c r="E287" s="99">
        <f t="shared" si="15"/>
        <v>0</v>
      </c>
      <c r="F287" s="99">
        <f t="shared" si="16"/>
        <v>-6418600</v>
      </c>
      <c r="G287" s="99"/>
    </row>
    <row r="288" spans="1:11">
      <c r="A288" s="99" t="s">
        <v>4965</v>
      </c>
      <c r="B288" s="113">
        <v>-320930</v>
      </c>
      <c r="C288" s="99">
        <v>3</v>
      </c>
      <c r="D288" s="99">
        <f t="shared" si="14"/>
        <v>19</v>
      </c>
      <c r="E288" s="99">
        <f t="shared" si="15"/>
        <v>0</v>
      </c>
      <c r="F288" s="99">
        <f t="shared" si="16"/>
        <v>-7600000</v>
      </c>
      <c r="G288" s="99"/>
    </row>
    <row r="289" spans="1:10">
      <c r="A289" s="99" t="s">
        <v>4966</v>
      </c>
      <c r="B289" s="113">
        <v>-400000</v>
      </c>
      <c r="C289" s="99">
        <v>1</v>
      </c>
      <c r="D289" s="99">
        <f t="shared" ref="D289:D313" si="17">D290+C289</f>
        <v>16</v>
      </c>
      <c r="E289" s="99">
        <f t="shared" ref="E289:E313" si="18">IF(B290&gt;0,1,0)</f>
        <v>0</v>
      </c>
      <c r="F289" s="99">
        <f t="shared" ref="F289:F313" si="19">B290*(D289-E289)</f>
        <v>-264000</v>
      </c>
      <c r="G289" s="99"/>
    </row>
    <row r="290" spans="1:10">
      <c r="A290" s="99" t="s">
        <v>4973</v>
      </c>
      <c r="B290" s="113">
        <v>-16500</v>
      </c>
      <c r="C290" s="99">
        <v>11</v>
      </c>
      <c r="D290" s="99">
        <f t="shared" si="17"/>
        <v>15</v>
      </c>
      <c r="E290" s="99">
        <f t="shared" si="18"/>
        <v>1</v>
      </c>
      <c r="F290" s="99">
        <f t="shared" si="19"/>
        <v>36400000</v>
      </c>
      <c r="G290" s="99"/>
    </row>
    <row r="291" spans="1:10">
      <c r="A291" s="99" t="s">
        <v>4996</v>
      </c>
      <c r="B291" s="113">
        <v>2600000</v>
      </c>
      <c r="C291" s="99">
        <v>2</v>
      </c>
      <c r="D291" s="99">
        <f t="shared" si="17"/>
        <v>4</v>
      </c>
      <c r="E291" s="99">
        <f t="shared" si="18"/>
        <v>0</v>
      </c>
      <c r="F291" s="99">
        <f t="shared" si="19"/>
        <v>-4680000</v>
      </c>
      <c r="G291" s="99"/>
      <c r="I291" t="s">
        <v>25</v>
      </c>
    </row>
    <row r="292" spans="1:10">
      <c r="A292" s="99" t="s">
        <v>4997</v>
      </c>
      <c r="B292" s="113">
        <v>-1170000</v>
      </c>
      <c r="C292" s="99">
        <v>0</v>
      </c>
      <c r="D292" s="99">
        <f t="shared" si="17"/>
        <v>2</v>
      </c>
      <c r="E292" s="99">
        <f t="shared" si="18"/>
        <v>0</v>
      </c>
      <c r="F292" s="99">
        <f t="shared" si="19"/>
        <v>-18000</v>
      </c>
      <c r="G292" s="99" t="s">
        <v>4998</v>
      </c>
      <c r="J292" t="s">
        <v>25</v>
      </c>
    </row>
    <row r="293" spans="1:10">
      <c r="A293" s="99" t="s">
        <v>4997</v>
      </c>
      <c r="B293" s="113">
        <v>-9000</v>
      </c>
      <c r="C293" s="99">
        <v>1</v>
      </c>
      <c r="D293" s="99">
        <f t="shared" si="17"/>
        <v>2</v>
      </c>
      <c r="E293" s="99">
        <f t="shared" si="18"/>
        <v>0</v>
      </c>
      <c r="F293" s="99">
        <f t="shared" si="19"/>
        <v>-2290000</v>
      </c>
      <c r="G293" s="99"/>
    </row>
    <row r="294" spans="1:10">
      <c r="A294" s="99" t="s">
        <v>5000</v>
      </c>
      <c r="B294" s="113">
        <v>-1145000</v>
      </c>
      <c r="C294" s="99">
        <v>1</v>
      </c>
      <c r="D294" s="99">
        <f t="shared" si="17"/>
        <v>1</v>
      </c>
      <c r="E294" s="99">
        <f t="shared" si="18"/>
        <v>0</v>
      </c>
      <c r="F294" s="99">
        <f t="shared" si="19"/>
        <v>0</v>
      </c>
      <c r="G294" s="99" t="s">
        <v>5001</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14" activePane="bottomLeft" state="frozen"/>
      <selection pane="bottomLeft" activeCell="M42" sqref="M4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4900</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5199</v>
      </c>
      <c r="L33" t="s">
        <v>5200</v>
      </c>
      <c r="M33" t="s">
        <v>5201</v>
      </c>
      <c r="N33" t="s">
        <v>5202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5204</v>
      </c>
      <c r="M34" t="s">
        <v>5205</v>
      </c>
      <c r="N34" t="s">
        <v>5203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4852</v>
      </c>
      <c r="B193" s="38">
        <v>-25000</v>
      </c>
      <c r="C193" s="11" t="s">
        <v>4859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26"/>
  <sheetViews>
    <sheetView topLeftCell="M16" zoomScale="90" zoomScaleNormal="90" workbookViewId="0">
      <selection activeCell="P44" sqref="P4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5187</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4874</v>
      </c>
      <c r="AT12" s="73" t="s">
        <v>4875</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4997</v>
      </c>
      <c r="AT13" s="73" t="s">
        <v>4999</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5000</v>
      </c>
      <c r="AT14" s="73" t="s">
        <v>5004</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5033</v>
      </c>
      <c r="AT15" s="73" t="s">
        <v>5032</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5036</v>
      </c>
      <c r="AT16" s="213" t="s">
        <v>5038</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Q18" s="168" t="s">
        <v>4291</v>
      </c>
      <c r="R18" s="168" t="s">
        <v>25</v>
      </c>
      <c r="S18" s="168"/>
      <c r="T18" s="113"/>
      <c r="U18" s="99"/>
      <c r="V18" s="99"/>
      <c r="W18" s="99"/>
      <c r="X18" s="99"/>
      <c r="Y18" s="115"/>
      <c r="Z18" s="115"/>
      <c r="AP18" s="96"/>
      <c r="AQ18" s="213"/>
      <c r="AR18" s="169">
        <f>SUM(AR6:AR16)</f>
        <v>-1949808</v>
      </c>
      <c r="AS18" s="213"/>
      <c r="AT18" s="235" t="s">
        <v>5039</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96"/>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40069</v>
      </c>
      <c r="O20" s="99" t="s">
        <v>936</v>
      </c>
      <c r="P20" s="99" t="s">
        <v>3928</v>
      </c>
      <c r="Q20" s="169">
        <v>9268987</v>
      </c>
      <c r="R20" s="168" t="s">
        <v>4171</v>
      </c>
      <c r="S20" s="191">
        <f>S95</f>
        <v>298</v>
      </c>
      <c r="T20" s="168" t="s">
        <v>4307</v>
      </c>
      <c r="U20" s="168">
        <v>192.1</v>
      </c>
      <c r="V20" s="168">
        <f t="shared" ref="V20:V59" si="6">U20*(1+$R$91+$Q$15*S20/36500)</f>
        <v>238.93450630136991</v>
      </c>
      <c r="W20" s="32">
        <f t="shared" ref="W20:W29" si="7">V20*(1+$W$19/100)</f>
        <v>243.71319642739732</v>
      </c>
      <c r="X20" s="32">
        <f t="shared" ref="X20:X29" si="8">V20*(1+$X$19/100)</f>
        <v>248.49188655342471</v>
      </c>
      <c r="Y20" s="115"/>
      <c r="Z20" s="115"/>
      <c r="AH20" s="99">
        <v>1</v>
      </c>
      <c r="AI20" s="113" t="s">
        <v>1107</v>
      </c>
      <c r="AJ20" s="113">
        <v>18000000</v>
      </c>
      <c r="AK20" s="99">
        <v>1</v>
      </c>
      <c r="AL20" s="99">
        <f>AL21+AK20</f>
        <v>488</v>
      </c>
      <c r="AM20" s="113">
        <f>AJ20*AL20</f>
        <v>8784000000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-N32</f>
        <v>628943594.6989907</v>
      </c>
      <c r="M21" s="168" t="s">
        <v>4299</v>
      </c>
      <c r="N21" s="113">
        <f t="shared" ref="N21:N24" si="9">O21*P21</f>
        <v>396494705.60000002</v>
      </c>
      <c r="O21" s="99">
        <v>1628984</v>
      </c>
      <c r="P21" s="185">
        <f>P46</f>
        <v>243.4</v>
      </c>
      <c r="Q21" s="169">
        <v>1353959</v>
      </c>
      <c r="R21" s="168" t="s">
        <v>4425</v>
      </c>
      <c r="S21" s="198">
        <f>S20-59</f>
        <v>239</v>
      </c>
      <c r="T21" s="19" t="s">
        <v>4469</v>
      </c>
      <c r="U21" s="168">
        <v>192.2</v>
      </c>
      <c r="V21" s="168">
        <f t="shared" si="6"/>
        <v>230.35986191780822</v>
      </c>
      <c r="W21" s="32">
        <f t="shared" si="7"/>
        <v>234.9670591561644</v>
      </c>
      <c r="X21" s="32">
        <f t="shared" si="8"/>
        <v>239.57425639452055</v>
      </c>
      <c r="Y21" s="115"/>
      <c r="Z21" s="115"/>
      <c r="AH21" s="99">
        <v>2</v>
      </c>
      <c r="AI21" s="113" t="s">
        <v>1109</v>
      </c>
      <c r="AJ21" s="113">
        <v>2500000</v>
      </c>
      <c r="AK21" s="99">
        <v>1</v>
      </c>
      <c r="AL21" s="99">
        <f t="shared" ref="AL21:AL63" si="10">AL22+AK21</f>
        <v>487</v>
      </c>
      <c r="AM21" s="113">
        <f t="shared" ref="AM21:AM120" si="11">AJ21*AL21</f>
        <v>1217500000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670559.4</v>
      </c>
      <c r="O22" s="99">
        <v>171</v>
      </c>
      <c r="P22" s="185">
        <f>P43</f>
        <v>3921.4</v>
      </c>
      <c r="Q22" s="169">
        <v>1614398</v>
      </c>
      <c r="R22" s="168" t="s">
        <v>4431</v>
      </c>
      <c r="S22" s="168">
        <f>S21-3</f>
        <v>236</v>
      </c>
      <c r="T22" s="19" t="s">
        <v>4502</v>
      </c>
      <c r="U22" s="168">
        <v>184.6</v>
      </c>
      <c r="V22" s="168">
        <f t="shared" si="6"/>
        <v>220.82610630136986</v>
      </c>
      <c r="W22" s="32">
        <f t="shared" si="7"/>
        <v>225.24262842739725</v>
      </c>
      <c r="X22" s="32">
        <f t="shared" si="8"/>
        <v>229.65915055342467</v>
      </c>
      <c r="Y22" s="115"/>
      <c r="Z22" s="115"/>
      <c r="AH22" s="99">
        <v>3</v>
      </c>
      <c r="AI22" s="113" t="s">
        <v>1118</v>
      </c>
      <c r="AJ22" s="113">
        <v>8000000</v>
      </c>
      <c r="AK22" s="99">
        <v>1</v>
      </c>
      <c r="AL22" s="99">
        <f t="shared" si="10"/>
        <v>486</v>
      </c>
      <c r="AM22" s="113">
        <f t="shared" si="11"/>
        <v>3888000000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5190</v>
      </c>
      <c r="N23" s="113">
        <f t="shared" si="9"/>
        <v>241989.5</v>
      </c>
      <c r="O23" s="99">
        <v>113</v>
      </c>
      <c r="P23" s="185">
        <f>P45</f>
        <v>2141.5</v>
      </c>
      <c r="Q23" s="169">
        <v>133576</v>
      </c>
      <c r="R23" s="168" t="s">
        <v>4509</v>
      </c>
      <c r="S23" s="197">
        <f>S22-22</f>
        <v>214</v>
      </c>
      <c r="T23" s="168" t="s">
        <v>4510</v>
      </c>
      <c r="U23" s="168">
        <v>166.2</v>
      </c>
      <c r="V23" s="168">
        <f t="shared" si="6"/>
        <v>196.0103605479452</v>
      </c>
      <c r="W23" s="32">
        <f t="shared" si="7"/>
        <v>199.93056775890412</v>
      </c>
      <c r="X23" s="32">
        <f t="shared" si="8"/>
        <v>203.85077496986301</v>
      </c>
      <c r="Y23" s="96"/>
      <c r="Z23" s="96"/>
      <c r="AH23" s="99">
        <v>4</v>
      </c>
      <c r="AI23" s="113" t="s">
        <v>4053</v>
      </c>
      <c r="AJ23" s="113">
        <v>-79552</v>
      </c>
      <c r="AK23" s="99">
        <v>1</v>
      </c>
      <c r="AL23" s="99">
        <f t="shared" si="10"/>
        <v>485</v>
      </c>
      <c r="AM23" s="113">
        <f t="shared" si="11"/>
        <v>-38582720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L58</f>
        <v>535945197.09899068</v>
      </c>
      <c r="G24" s="95">
        <f t="shared" si="0"/>
        <v>-255638851.71705204</v>
      </c>
      <c r="H24" s="11"/>
      <c r="I24" s="96"/>
      <c r="J24" s="96"/>
      <c r="K24" s="168" t="s">
        <v>4467</v>
      </c>
      <c r="L24" s="117">
        <f>-'فروردین 98'!D82</f>
        <v>-22915909</v>
      </c>
      <c r="M24" s="213" t="s">
        <v>4406</v>
      </c>
      <c r="N24" s="113">
        <f t="shared" si="9"/>
        <v>115192280</v>
      </c>
      <c r="O24" s="99">
        <v>161560</v>
      </c>
      <c r="P24" s="185">
        <f>P44</f>
        <v>713</v>
      </c>
      <c r="Q24" s="169">
        <v>220803</v>
      </c>
      <c r="R24" s="168" t="s">
        <v>4229</v>
      </c>
      <c r="S24" s="197">
        <f>S23-1</f>
        <v>213</v>
      </c>
      <c r="T24" s="168" t="s">
        <v>4516</v>
      </c>
      <c r="U24" s="168">
        <v>166</v>
      </c>
      <c r="V24" s="168">
        <f t="shared" si="6"/>
        <v>195.64714520547946</v>
      </c>
      <c r="W24" s="32">
        <f t="shared" si="7"/>
        <v>199.56008810958906</v>
      </c>
      <c r="X24" s="32">
        <f t="shared" si="8"/>
        <v>203.47303101369866</v>
      </c>
      <c r="Y24" s="96"/>
      <c r="Z24" s="96"/>
      <c r="AH24" s="99">
        <v>5</v>
      </c>
      <c r="AI24" s="113" t="s">
        <v>1130</v>
      </c>
      <c r="AJ24" s="113">
        <v>165500</v>
      </c>
      <c r="AK24" s="99">
        <v>12</v>
      </c>
      <c r="AL24" s="99">
        <f t="shared" si="10"/>
        <v>484</v>
      </c>
      <c r="AM24" s="113">
        <f t="shared" si="11"/>
        <v>80102000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c r="L25" s="117"/>
      <c r="M25" s="168"/>
      <c r="N25" s="113"/>
      <c r="O25" s="69" t="s">
        <v>25</v>
      </c>
      <c r="P25" s="99"/>
      <c r="Q25" s="169">
        <v>1023940</v>
      </c>
      <c r="R25" s="168" t="s">
        <v>4517</v>
      </c>
      <c r="S25" s="197">
        <f>S24-2</f>
        <v>211</v>
      </c>
      <c r="T25" s="168" t="s">
        <v>4523</v>
      </c>
      <c r="U25" s="168">
        <v>160.19999999999999</v>
      </c>
      <c r="V25" s="168">
        <f t="shared" si="6"/>
        <v>188.56549479452053</v>
      </c>
      <c r="W25" s="32">
        <f t="shared" si="7"/>
        <v>192.33680469041096</v>
      </c>
      <c r="X25" s="32">
        <f t="shared" si="8"/>
        <v>196.10811458630135</v>
      </c>
      <c r="Y25" s="96"/>
      <c r="Z25" s="96" t="s">
        <v>25</v>
      </c>
      <c r="AH25" s="99">
        <v>6</v>
      </c>
      <c r="AI25" s="113" t="s">
        <v>1155</v>
      </c>
      <c r="AJ25" s="113">
        <v>-28830327</v>
      </c>
      <c r="AK25" s="99">
        <v>6</v>
      </c>
      <c r="AL25" s="99">
        <f t="shared" si="10"/>
        <v>472</v>
      </c>
      <c r="AM25" s="113">
        <f t="shared" si="11"/>
        <v>-13607914344</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456</v>
      </c>
      <c r="L26" s="117">
        <v>250000</v>
      </c>
      <c r="M26" s="189" t="s">
        <v>4453</v>
      </c>
      <c r="N26" s="113">
        <v>35616</v>
      </c>
      <c r="O26" s="69" t="s">
        <v>25</v>
      </c>
      <c r="P26" s="99" t="s">
        <v>25</v>
      </c>
      <c r="Q26" s="169">
        <v>168846</v>
      </c>
      <c r="R26" s="168" t="s">
        <v>3690</v>
      </c>
      <c r="S26" s="197">
        <f>S25-28</f>
        <v>183</v>
      </c>
      <c r="T26" s="168" t="s">
        <v>4612</v>
      </c>
      <c r="U26" s="168">
        <v>172.2</v>
      </c>
      <c r="V26" s="168">
        <f t="shared" si="6"/>
        <v>198.99148931506849</v>
      </c>
      <c r="W26" s="32">
        <f t="shared" si="7"/>
        <v>202.97131910136986</v>
      </c>
      <c r="X26" s="32">
        <f t="shared" si="8"/>
        <v>206.95114888767125</v>
      </c>
      <c r="Y26" s="96"/>
      <c r="Z26" s="96"/>
      <c r="AH26" s="99">
        <v>7</v>
      </c>
      <c r="AI26" s="113" t="s">
        <v>1180</v>
      </c>
      <c r="AJ26" s="113">
        <v>18500000</v>
      </c>
      <c r="AK26" s="99">
        <v>1</v>
      </c>
      <c r="AL26" s="99">
        <f t="shared" si="10"/>
        <v>466</v>
      </c>
      <c r="AM26" s="113">
        <f t="shared" si="11"/>
        <v>8621000000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4406</v>
      </c>
      <c r="N27" s="113">
        <f t="shared" ref="N27:N29" si="13">O27*P27</f>
        <v>1499439</v>
      </c>
      <c r="O27" s="69">
        <v>2103</v>
      </c>
      <c r="P27" s="99">
        <f>P44</f>
        <v>713</v>
      </c>
      <c r="Q27" s="169">
        <v>350718</v>
      </c>
      <c r="R27" s="213" t="s">
        <v>4681</v>
      </c>
      <c r="S27" s="197">
        <f>S26-17</f>
        <v>166</v>
      </c>
      <c r="T27" s="213" t="s">
        <v>4682</v>
      </c>
      <c r="U27" s="213">
        <v>502.3</v>
      </c>
      <c r="V27" s="213">
        <f t="shared" si="6"/>
        <v>573.89908054794523</v>
      </c>
      <c r="W27" s="32">
        <f t="shared" si="7"/>
        <v>585.3770621589041</v>
      </c>
      <c r="X27" s="32">
        <f t="shared" si="8"/>
        <v>596.85504376986307</v>
      </c>
      <c r="Y27" s="96"/>
      <c r="Z27" s="96"/>
      <c r="AH27" s="99">
        <v>8</v>
      </c>
      <c r="AI27" s="113" t="s">
        <v>1189</v>
      </c>
      <c r="AJ27" s="113">
        <v>-18550000</v>
      </c>
      <c r="AK27" s="99">
        <v>1</v>
      </c>
      <c r="AL27" s="99">
        <f t="shared" si="10"/>
        <v>465</v>
      </c>
      <c r="AM27" s="113">
        <f t="shared" si="11"/>
        <v>-8625750000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5190</v>
      </c>
      <c r="N28" s="113">
        <f t="shared" si="13"/>
        <v>241989.5</v>
      </c>
      <c r="O28" s="69">
        <v>113</v>
      </c>
      <c r="P28" s="99">
        <f>P45</f>
        <v>2141.5</v>
      </c>
      <c r="Q28" s="169">
        <v>17953742</v>
      </c>
      <c r="R28" s="213" t="s">
        <v>3683</v>
      </c>
      <c r="S28" s="197">
        <f>S27-15</f>
        <v>151</v>
      </c>
      <c r="T28" s="213" t="s">
        <v>4719</v>
      </c>
      <c r="U28" s="213">
        <v>486.4</v>
      </c>
      <c r="V28" s="213">
        <f t="shared" si="6"/>
        <v>550.13572383561643</v>
      </c>
      <c r="W28" s="32">
        <f t="shared" si="7"/>
        <v>561.13843831232873</v>
      </c>
      <c r="X28" s="32">
        <f t="shared" si="8"/>
        <v>572.14115278904114</v>
      </c>
      <c r="Y28" s="96"/>
      <c r="Z28" s="96"/>
      <c r="AH28" s="99">
        <v>9</v>
      </c>
      <c r="AI28" s="113" t="s">
        <v>1196</v>
      </c>
      <c r="AJ28" s="113">
        <v>-64961</v>
      </c>
      <c r="AK28" s="99">
        <v>5</v>
      </c>
      <c r="AL28" s="99">
        <f t="shared" si="10"/>
        <v>464</v>
      </c>
      <c r="AM28" s="113">
        <f t="shared" si="11"/>
        <v>-30141904</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4432</v>
      </c>
      <c r="N29" s="113">
        <f t="shared" si="13"/>
        <v>84689082.799999997</v>
      </c>
      <c r="O29" s="69">
        <v>347942</v>
      </c>
      <c r="P29" s="99">
        <f>P46</f>
        <v>243.4</v>
      </c>
      <c r="Q29" s="169">
        <v>9566181</v>
      </c>
      <c r="R29" s="213" t="s">
        <v>4720</v>
      </c>
      <c r="S29" s="197">
        <f>S28-1</f>
        <v>150</v>
      </c>
      <c r="T29" s="213" t="s">
        <v>4721</v>
      </c>
      <c r="U29" s="213">
        <v>476.1</v>
      </c>
      <c r="V29" s="213">
        <f t="shared" si="6"/>
        <v>538.12082958904114</v>
      </c>
      <c r="W29" s="32">
        <f t="shared" si="7"/>
        <v>548.88324618082197</v>
      </c>
      <c r="X29" s="32">
        <f t="shared" si="8"/>
        <v>559.6456627726028</v>
      </c>
      <c r="Y29" s="96"/>
      <c r="Z29" s="96"/>
      <c r="AH29" s="99">
        <v>10</v>
      </c>
      <c r="AI29" s="113" t="s">
        <v>1212</v>
      </c>
      <c r="AJ29" s="113">
        <v>6400000</v>
      </c>
      <c r="AK29" s="99">
        <v>1</v>
      </c>
      <c r="AL29" s="99">
        <f t="shared" si="10"/>
        <v>459</v>
      </c>
      <c r="AM29" s="113">
        <f t="shared" si="11"/>
        <v>2937600000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c r="N30" s="113"/>
      <c r="P30" t="s">
        <v>25</v>
      </c>
      <c r="Q30" s="169">
        <v>1563192</v>
      </c>
      <c r="R30" s="213" t="s">
        <v>4720</v>
      </c>
      <c r="S30" s="197">
        <f>S29</f>
        <v>150</v>
      </c>
      <c r="T30" s="213" t="s">
        <v>4722</v>
      </c>
      <c r="U30" s="213">
        <v>168.8</v>
      </c>
      <c r="V30" s="213">
        <f t="shared" si="6"/>
        <v>190.78932164383565</v>
      </c>
      <c r="W30" s="32">
        <f t="shared" ref="W30:W59" si="14">V30*(1+$W$19/100)</f>
        <v>194.60510807671236</v>
      </c>
      <c r="X30" s="32">
        <f t="shared" ref="X30:X59" si="15">V30*(1+$X$19/100)</f>
        <v>198.42089450958909</v>
      </c>
      <c r="Y30" s="96"/>
      <c r="Z30" s="96"/>
      <c r="AH30" s="99">
        <v>11</v>
      </c>
      <c r="AI30" s="113" t="s">
        <v>4054</v>
      </c>
      <c r="AJ30" s="113">
        <v>-170000</v>
      </c>
      <c r="AK30" s="99">
        <v>5</v>
      </c>
      <c r="AL30" s="99">
        <f t="shared" si="10"/>
        <v>458</v>
      </c>
      <c r="AM30" s="113">
        <f t="shared" si="11"/>
        <v>-77860000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25</v>
      </c>
      <c r="L31" s="117"/>
      <c r="M31" s="168" t="s">
        <v>756</v>
      </c>
      <c r="N31" s="113">
        <v>3000000</v>
      </c>
      <c r="O31" t="s">
        <v>25</v>
      </c>
      <c r="P31" t="s">
        <v>25</v>
      </c>
      <c r="Q31" s="169">
        <v>15499033</v>
      </c>
      <c r="R31" s="213" t="s">
        <v>4738</v>
      </c>
      <c r="S31" s="197">
        <f>S30-6</f>
        <v>144</v>
      </c>
      <c r="T31" s="213" t="s">
        <v>4742</v>
      </c>
      <c r="U31" s="213">
        <v>525.1</v>
      </c>
      <c r="V31" s="213">
        <f t="shared" si="6"/>
        <v>591.0870871232878</v>
      </c>
      <c r="W31" s="32">
        <f t="shared" si="14"/>
        <v>602.90882886575355</v>
      </c>
      <c r="X31" s="32">
        <f t="shared" si="15"/>
        <v>614.7305706082193</v>
      </c>
      <c r="Y31" s="96"/>
      <c r="Z31" s="96"/>
      <c r="AH31" s="99">
        <v>12</v>
      </c>
      <c r="AI31" s="113" t="s">
        <v>1232</v>
      </c>
      <c r="AJ31" s="113">
        <v>-6300000</v>
      </c>
      <c r="AK31" s="99">
        <v>1</v>
      </c>
      <c r="AL31" s="99">
        <f>AL32+AK31</f>
        <v>453</v>
      </c>
      <c r="AM31" s="113">
        <f t="shared" si="11"/>
        <v>-2853900000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918</v>
      </c>
      <c r="L32" s="117">
        <v>4800000</v>
      </c>
      <c r="M32" s="168" t="s">
        <v>4148</v>
      </c>
      <c r="N32" s="113">
        <f>-S156</f>
        <v>-628943594.6989907</v>
      </c>
      <c r="O32" s="96" t="s">
        <v>25</v>
      </c>
      <c r="P32" s="96" t="s">
        <v>25</v>
      </c>
      <c r="Q32" s="169">
        <v>30673673</v>
      </c>
      <c r="R32" s="213" t="s">
        <v>4746</v>
      </c>
      <c r="S32" s="197">
        <f>S31-1</f>
        <v>143</v>
      </c>
      <c r="T32" s="213" t="s">
        <v>4751</v>
      </c>
      <c r="U32" s="213">
        <v>529.79999999999995</v>
      </c>
      <c r="V32" s="213">
        <f t="shared" si="6"/>
        <v>595.97129424657533</v>
      </c>
      <c r="W32" s="32">
        <f t="shared" si="14"/>
        <v>607.8907201315069</v>
      </c>
      <c r="X32" s="32">
        <f t="shared" si="15"/>
        <v>619.81014601643835</v>
      </c>
      <c r="Y32" s="96"/>
      <c r="Z32" s="96"/>
      <c r="AH32" s="99">
        <v>13</v>
      </c>
      <c r="AI32" s="113" t="s">
        <v>1241</v>
      </c>
      <c r="AJ32" s="113">
        <v>-52015</v>
      </c>
      <c r="AK32" s="99">
        <v>16</v>
      </c>
      <c r="AL32" s="99">
        <f t="shared" si="10"/>
        <v>452</v>
      </c>
      <c r="AM32" s="113">
        <f t="shared" si="11"/>
        <v>-23510780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t="s">
        <v>753</v>
      </c>
      <c r="N33" s="113">
        <v>500000</v>
      </c>
      <c r="O33" s="96" t="s">
        <v>25</v>
      </c>
      <c r="P33" s="122" t="s">
        <v>25</v>
      </c>
      <c r="Q33" s="169">
        <v>5809833</v>
      </c>
      <c r="R33" s="213" t="s">
        <v>4845</v>
      </c>
      <c r="S33" s="197">
        <f>S32-21</f>
        <v>122</v>
      </c>
      <c r="T33" s="213" t="s">
        <v>4849</v>
      </c>
      <c r="U33" s="213">
        <v>587.29999999999995</v>
      </c>
      <c r="V33" s="213">
        <f t="shared" si="6"/>
        <v>651.19180383561638</v>
      </c>
      <c r="W33" s="32">
        <f t="shared" si="14"/>
        <v>664.2156399123287</v>
      </c>
      <c r="X33" s="32">
        <f t="shared" si="15"/>
        <v>677.23947598904101</v>
      </c>
      <c r="Y33" s="96"/>
      <c r="Z33" s="96"/>
      <c r="AH33" s="99">
        <v>14</v>
      </c>
      <c r="AI33" s="113" t="s">
        <v>3707</v>
      </c>
      <c r="AJ33" s="113">
        <v>20017400</v>
      </c>
      <c r="AK33" s="99">
        <v>0</v>
      </c>
      <c r="AL33" s="99">
        <f t="shared" si="10"/>
        <v>436</v>
      </c>
      <c r="AM33" s="113">
        <f t="shared" si="11"/>
        <v>8727586400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1085</v>
      </c>
      <c r="L34" s="117">
        <f>'خرید و فروش سکه فیزیکی'!M48*10*P47</f>
        <v>0</v>
      </c>
      <c r="M34" s="168" t="s">
        <v>760</v>
      </c>
      <c r="N34" s="113">
        <v>1200000</v>
      </c>
      <c r="O34" t="s">
        <v>25</v>
      </c>
      <c r="P34" t="s">
        <v>25</v>
      </c>
      <c r="Q34" s="169">
        <v>164707</v>
      </c>
      <c r="R34" s="213" t="s">
        <v>4894</v>
      </c>
      <c r="S34" s="197">
        <f>S33-28</f>
        <v>94</v>
      </c>
      <c r="T34" s="213" t="s">
        <v>4895</v>
      </c>
      <c r="U34" s="213">
        <v>633</v>
      </c>
      <c r="V34" s="213">
        <f t="shared" si="6"/>
        <v>688.26696986301374</v>
      </c>
      <c r="W34" s="32">
        <f t="shared" si="14"/>
        <v>702.03230926027402</v>
      </c>
      <c r="X34" s="32">
        <f t="shared" si="15"/>
        <v>715.7976486575343</v>
      </c>
      <c r="Y34" s="96"/>
      <c r="Z34" s="96"/>
      <c r="AH34" s="99">
        <v>15</v>
      </c>
      <c r="AI34" s="113" t="s">
        <v>3707</v>
      </c>
      <c r="AJ34" s="113">
        <v>1014466</v>
      </c>
      <c r="AK34" s="99">
        <v>12</v>
      </c>
      <c r="AL34" s="99">
        <f t="shared" si="10"/>
        <v>436</v>
      </c>
      <c r="AM34" s="113">
        <f t="shared" si="11"/>
        <v>442307176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5048</v>
      </c>
      <c r="L35" s="117">
        <v>-47500000</v>
      </c>
      <c r="M35" s="73"/>
      <c r="N35" s="113"/>
      <c r="O35" s="96" t="s">
        <v>25</v>
      </c>
      <c r="P35" s="96" t="s">
        <v>25</v>
      </c>
      <c r="Q35" s="169">
        <v>1204691</v>
      </c>
      <c r="R35" s="213" t="s">
        <v>4956</v>
      </c>
      <c r="S35" s="197">
        <f>S34-20</f>
        <v>74</v>
      </c>
      <c r="T35" s="213" t="s">
        <v>4957</v>
      </c>
      <c r="U35" s="213">
        <v>218.5</v>
      </c>
      <c r="V35" s="213">
        <f t="shared" si="6"/>
        <v>234.22481643835619</v>
      </c>
      <c r="W35" s="32">
        <f t="shared" si="14"/>
        <v>238.90931276712331</v>
      </c>
      <c r="X35" s="32">
        <f t="shared" si="15"/>
        <v>243.59380909589044</v>
      </c>
      <c r="Y35" s="96" t="s">
        <v>25</v>
      </c>
      <c r="Z35" s="96" t="s">
        <v>25</v>
      </c>
      <c r="AH35" s="99">
        <v>16</v>
      </c>
      <c r="AI35" s="113" t="s">
        <v>1143</v>
      </c>
      <c r="AJ35" s="113">
        <v>360000</v>
      </c>
      <c r="AK35" s="99">
        <v>2</v>
      </c>
      <c r="AL35" s="99">
        <f t="shared" si="10"/>
        <v>424</v>
      </c>
      <c r="AM35" s="113">
        <f t="shared" si="11"/>
        <v>152640000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c r="N36" s="113"/>
      <c r="O36" s="96"/>
      <c r="P36" s="96" t="s">
        <v>25</v>
      </c>
      <c r="Q36" s="169">
        <v>15011877</v>
      </c>
      <c r="R36" s="213" t="s">
        <v>4960</v>
      </c>
      <c r="S36" s="197">
        <f>S35-3</f>
        <v>71</v>
      </c>
      <c r="T36" s="213" t="s">
        <v>4964</v>
      </c>
      <c r="U36" s="213">
        <v>197.1</v>
      </c>
      <c r="V36" s="213">
        <f t="shared" si="6"/>
        <v>210.83112000000003</v>
      </c>
      <c r="W36" s="32">
        <f t="shared" si="14"/>
        <v>215.04774240000003</v>
      </c>
      <c r="X36" s="32">
        <f t="shared" si="15"/>
        <v>219.26436480000004</v>
      </c>
      <c r="Y36" s="96" t="s">
        <v>25</v>
      </c>
      <c r="Z36" s="96"/>
      <c r="AH36" s="99">
        <v>17</v>
      </c>
      <c r="AI36" s="113" t="s">
        <v>3767</v>
      </c>
      <c r="AJ36" s="113">
        <v>-350000</v>
      </c>
      <c r="AK36" s="99">
        <v>0</v>
      </c>
      <c r="AL36" s="99">
        <f t="shared" si="10"/>
        <v>422</v>
      </c>
      <c r="AM36" s="113">
        <f t="shared" si="11"/>
        <v>-147700000</v>
      </c>
      <c r="AN36" s="99"/>
      <c r="AP36" s="96"/>
      <c r="AQ36" s="96"/>
      <c r="AR36" s="96"/>
      <c r="AS36" s="96"/>
      <c r="AV36" s="96"/>
      <c r="AW36" s="96"/>
      <c r="AX36" s="96"/>
      <c r="AY36" s="96"/>
      <c r="AZ36" s="96"/>
      <c r="BA36" s="96"/>
      <c r="BB36" s="96"/>
    </row>
    <row r="37" spans="1:54" ht="16.5">
      <c r="A37" s="61">
        <v>98</v>
      </c>
      <c r="B37" s="11">
        <v>35</v>
      </c>
      <c r="C37" s="3">
        <f t="shared" si="4"/>
        <v>4543212.888090861</v>
      </c>
      <c r="D37" s="3">
        <f t="shared" si="5"/>
        <v>3690582.5241614818</v>
      </c>
      <c r="E37" s="3">
        <f t="shared" si="12"/>
        <v>374373315.81956631</v>
      </c>
      <c r="F37" s="3"/>
      <c r="G37" s="11"/>
      <c r="H37" s="11"/>
      <c r="K37" s="168"/>
      <c r="L37" s="117"/>
      <c r="M37" s="168" t="s">
        <v>5046</v>
      </c>
      <c r="N37" s="113">
        <v>-18000000</v>
      </c>
      <c r="O37" s="244" t="s">
        <v>25</v>
      </c>
      <c r="P37" s="114"/>
      <c r="Q37" s="169">
        <v>3098904</v>
      </c>
      <c r="R37" s="213" t="s">
        <v>4973</v>
      </c>
      <c r="S37" s="197">
        <f>S36-5</f>
        <v>66</v>
      </c>
      <c r="T37" s="213" t="s">
        <v>4975</v>
      </c>
      <c r="U37" s="213">
        <v>671.9</v>
      </c>
      <c r="V37" s="213">
        <f t="shared" si="6"/>
        <v>716.13126904109595</v>
      </c>
      <c r="W37" s="32">
        <f t="shared" si="14"/>
        <v>730.45389442191788</v>
      </c>
      <c r="X37" s="32">
        <f t="shared" si="15"/>
        <v>744.77651980273981</v>
      </c>
      <c r="Y37" s="96" t="s">
        <v>25</v>
      </c>
      <c r="Z37" s="96"/>
      <c r="AH37" s="99">
        <v>18</v>
      </c>
      <c r="AI37" s="113" t="s">
        <v>3767</v>
      </c>
      <c r="AJ37" s="113">
        <v>1000</v>
      </c>
      <c r="AK37" s="99">
        <v>1</v>
      </c>
      <c r="AL37" s="99">
        <f t="shared" si="10"/>
        <v>422</v>
      </c>
      <c r="AM37" s="113">
        <f t="shared" si="11"/>
        <v>422000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t="s">
        <v>5047</v>
      </c>
      <c r="N38" s="113">
        <v>-47000000</v>
      </c>
      <c r="O38" s="96" t="s">
        <v>25</v>
      </c>
      <c r="P38" s="96" t="s">
        <v>25</v>
      </c>
      <c r="Q38" s="169">
        <v>12803120</v>
      </c>
      <c r="R38" s="213" t="s">
        <v>4973</v>
      </c>
      <c r="S38" s="197">
        <f>S37</f>
        <v>66</v>
      </c>
      <c r="T38" s="213" t="s">
        <v>4976</v>
      </c>
      <c r="U38" s="213">
        <v>194.4</v>
      </c>
      <c r="V38" s="213">
        <f t="shared" si="6"/>
        <v>207.19737863013702</v>
      </c>
      <c r="W38" s="32">
        <f t="shared" si="14"/>
        <v>211.34132620273976</v>
      </c>
      <c r="X38" s="32">
        <f t="shared" si="15"/>
        <v>215.48527377534251</v>
      </c>
      <c r="Y38" s="96" t="s">
        <v>25</v>
      </c>
      <c r="Z38" s="96"/>
      <c r="AH38" s="99">
        <v>19</v>
      </c>
      <c r="AI38" s="113" t="s">
        <v>3771</v>
      </c>
      <c r="AJ38" s="113">
        <v>33610000</v>
      </c>
      <c r="AK38" s="99">
        <v>4</v>
      </c>
      <c r="AL38" s="99">
        <f t="shared" si="10"/>
        <v>421</v>
      </c>
      <c r="AM38" s="113">
        <f t="shared" si="11"/>
        <v>14149810000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99"/>
      <c r="L39" s="117"/>
      <c r="M39" s="168"/>
      <c r="N39" s="113"/>
      <c r="O39" s="96"/>
      <c r="P39" s="96" t="s">
        <v>25</v>
      </c>
      <c r="Q39" s="169">
        <v>100562</v>
      </c>
      <c r="R39" s="213" t="s">
        <v>4982</v>
      </c>
      <c r="S39" s="197">
        <f>S38-6</f>
        <v>60</v>
      </c>
      <c r="T39" s="213" t="s">
        <v>4983</v>
      </c>
      <c r="U39" s="213">
        <v>190.3</v>
      </c>
      <c r="V39" s="213">
        <f t="shared" si="6"/>
        <v>201.95157369863017</v>
      </c>
      <c r="W39" s="32">
        <f t="shared" si="14"/>
        <v>205.99060517260278</v>
      </c>
      <c r="X39" s="32">
        <f t="shared" si="15"/>
        <v>210.0296366465754</v>
      </c>
      <c r="Y39" s="96"/>
      <c r="Z39" s="96"/>
      <c r="AA39" s="96"/>
      <c r="AB39" s="96"/>
      <c r="AC39" s="96"/>
      <c r="AD39" s="96"/>
      <c r="AH39" s="99">
        <v>20</v>
      </c>
      <c r="AI39" s="113" t="s">
        <v>4055</v>
      </c>
      <c r="AJ39" s="113">
        <v>-15600000</v>
      </c>
      <c r="AK39" s="99">
        <v>3</v>
      </c>
      <c r="AL39" s="99">
        <f t="shared" si="10"/>
        <v>417</v>
      </c>
      <c r="AM39" s="113">
        <f t="shared" si="11"/>
        <v>-6505200000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99" t="s">
        <v>5194</v>
      </c>
      <c r="L40" s="117">
        <v>-1500000</v>
      </c>
      <c r="M40" s="168" t="s">
        <v>4452</v>
      </c>
      <c r="N40" s="113">
        <v>40537</v>
      </c>
      <c r="P40" t="s">
        <v>25</v>
      </c>
      <c r="Q40" s="169">
        <v>198647697</v>
      </c>
      <c r="R40" s="213" t="s">
        <v>4986</v>
      </c>
      <c r="S40" s="197">
        <f>S39-2</f>
        <v>58</v>
      </c>
      <c r="T40" s="213" t="s">
        <v>5034</v>
      </c>
      <c r="U40" s="213">
        <v>195.5</v>
      </c>
      <c r="V40" s="213">
        <f t="shared" si="6"/>
        <v>207.17001095890413</v>
      </c>
      <c r="W40" s="32">
        <f t="shared" si="14"/>
        <v>211.31341117808222</v>
      </c>
      <c r="X40" s="32">
        <f t="shared" si="15"/>
        <v>215.45681139726031</v>
      </c>
      <c r="Y40" s="96" t="s">
        <v>25</v>
      </c>
      <c r="Z40" s="96" t="s">
        <v>25</v>
      </c>
      <c r="AA40" s="96"/>
      <c r="AB40" s="96"/>
      <c r="AC40" s="96"/>
      <c r="AD40" s="96"/>
      <c r="AH40" s="99">
        <v>21</v>
      </c>
      <c r="AI40" s="113" t="s">
        <v>3785</v>
      </c>
      <c r="AJ40" s="113">
        <v>7500000</v>
      </c>
      <c r="AK40" s="99">
        <v>4</v>
      </c>
      <c r="AL40" s="99">
        <f t="shared" si="10"/>
        <v>414</v>
      </c>
      <c r="AM40" s="113">
        <f t="shared" si="11"/>
        <v>3105000000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263" t="s">
        <v>5177</v>
      </c>
      <c r="L41" s="117">
        <v>-19795000</v>
      </c>
      <c r="M41" s="168"/>
      <c r="N41" s="113"/>
      <c r="O41" s="99"/>
      <c r="P41" s="99"/>
      <c r="Q41" s="169">
        <v>118852</v>
      </c>
      <c r="R41" s="213" t="s">
        <v>5015</v>
      </c>
      <c r="S41" s="197">
        <f>S40-12</f>
        <v>46</v>
      </c>
      <c r="T41" s="213" t="s">
        <v>5016</v>
      </c>
      <c r="U41" s="213">
        <v>739.4</v>
      </c>
      <c r="V41" s="213">
        <f t="shared" si="6"/>
        <v>776.73058410958902</v>
      </c>
      <c r="W41" s="32">
        <f t="shared" si="14"/>
        <v>792.2651957917808</v>
      </c>
      <c r="X41" s="32">
        <f t="shared" si="15"/>
        <v>807.79980747397258</v>
      </c>
      <c r="Y41" s="96"/>
      <c r="Z41" s="96"/>
      <c r="AA41" s="96"/>
      <c r="AB41" s="96"/>
      <c r="AC41" s="96"/>
      <c r="AD41" s="96"/>
      <c r="AH41" s="99">
        <v>22</v>
      </c>
      <c r="AI41" s="113" t="s">
        <v>4056</v>
      </c>
      <c r="AJ41" s="113">
        <v>-98000</v>
      </c>
      <c r="AK41" s="99">
        <v>1</v>
      </c>
      <c r="AL41" s="99">
        <f t="shared" si="10"/>
        <v>410</v>
      </c>
      <c r="AM41" s="113">
        <f t="shared" si="11"/>
        <v>-40180000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5166</v>
      </c>
      <c r="L42" s="117">
        <v>0</v>
      </c>
      <c r="M42" s="21" t="s">
        <v>4562</v>
      </c>
      <c r="N42" s="117">
        <f t="shared" ref="N42:N47" si="16">O42*P42</f>
        <v>74975</v>
      </c>
      <c r="O42" s="69">
        <v>50</v>
      </c>
      <c r="P42" s="69">
        <v>1499.5</v>
      </c>
      <c r="Q42" s="169">
        <v>9986627</v>
      </c>
      <c r="R42" s="213" t="s">
        <v>5036</v>
      </c>
      <c r="S42" s="197">
        <f>S41-9</f>
        <v>37</v>
      </c>
      <c r="T42" s="213" t="s">
        <v>5041</v>
      </c>
      <c r="U42" s="213">
        <v>200.2</v>
      </c>
      <c r="V42" s="213">
        <f t="shared" si="6"/>
        <v>208.92542904109592</v>
      </c>
      <c r="W42" s="32">
        <f t="shared" si="14"/>
        <v>213.10393762191785</v>
      </c>
      <c r="X42" s="32">
        <f t="shared" si="15"/>
        <v>217.28244620273978</v>
      </c>
      <c r="Y42" s="115" t="s">
        <v>25</v>
      </c>
      <c r="Z42" s="115"/>
      <c r="AA42" s="115"/>
      <c r="AB42" s="115"/>
      <c r="AC42" s="115"/>
      <c r="AD42" s="115"/>
      <c r="AE42" s="115"/>
      <c r="AF42" s="115"/>
      <c r="AH42" s="99">
        <v>23</v>
      </c>
      <c r="AI42" s="113" t="s">
        <v>4050</v>
      </c>
      <c r="AJ42" s="113">
        <v>-26000000</v>
      </c>
      <c r="AK42" s="99">
        <v>0</v>
      </c>
      <c r="AL42" s="99">
        <f t="shared" si="10"/>
        <v>409</v>
      </c>
      <c r="AM42" s="113">
        <f t="shared" si="11"/>
        <v>-10634000000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2"/>
        <v>427171871.11783922</v>
      </c>
      <c r="F43" s="3"/>
      <c r="G43" s="11"/>
      <c r="H43" s="11"/>
      <c r="K43" s="36" t="s">
        <v>5156</v>
      </c>
      <c r="L43" s="117">
        <f>-31884*P46</f>
        <v>-7760565.6000000006</v>
      </c>
      <c r="M43" s="21" t="s">
        <v>4388</v>
      </c>
      <c r="N43" s="117">
        <f t="shared" si="16"/>
        <v>113720.6</v>
      </c>
      <c r="O43" s="69">
        <v>29</v>
      </c>
      <c r="P43" s="69">
        <v>3921.4</v>
      </c>
      <c r="Q43" s="169">
        <v>499908</v>
      </c>
      <c r="R43" s="213" t="s">
        <v>5044</v>
      </c>
      <c r="S43" s="197">
        <f>S42-1</f>
        <v>36</v>
      </c>
      <c r="T43" s="213" t="s">
        <v>5049</v>
      </c>
      <c r="U43" s="213">
        <v>200</v>
      </c>
      <c r="V43" s="213">
        <f t="shared" si="6"/>
        <v>208.5632876712329</v>
      </c>
      <c r="W43" s="32">
        <f t="shared" si="14"/>
        <v>212.73455342465755</v>
      </c>
      <c r="X43" s="32">
        <f t="shared" si="15"/>
        <v>216.90581917808223</v>
      </c>
      <c r="Y43" s="115"/>
      <c r="Z43" s="115"/>
      <c r="AA43" s="115" t="s">
        <v>25</v>
      </c>
      <c r="AB43" s="115"/>
      <c r="AC43" s="115"/>
      <c r="AD43" s="115"/>
      <c r="AE43" s="115"/>
      <c r="AF43" s="115"/>
      <c r="AH43" s="99">
        <v>24</v>
      </c>
      <c r="AI43" s="113" t="s">
        <v>4050</v>
      </c>
      <c r="AJ43" s="113">
        <v>25000000</v>
      </c>
      <c r="AK43" s="99">
        <v>1</v>
      </c>
      <c r="AL43" s="99">
        <f t="shared" si="10"/>
        <v>409</v>
      </c>
      <c r="AM43" s="113">
        <f t="shared" si="11"/>
        <v>10225000000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4406</v>
      </c>
      <c r="N44" s="117">
        <f t="shared" si="16"/>
        <v>66721114</v>
      </c>
      <c r="O44" s="69">
        <v>93578</v>
      </c>
      <c r="P44" s="69">
        <v>713</v>
      </c>
      <c r="Q44" s="169">
        <v>850188</v>
      </c>
      <c r="R44" s="213" t="s">
        <v>5052</v>
      </c>
      <c r="S44" s="197">
        <f>S43-1</f>
        <v>35</v>
      </c>
      <c r="T44" s="213" t="s">
        <v>5053</v>
      </c>
      <c r="U44" s="213">
        <v>201.9</v>
      </c>
      <c r="V44" s="213">
        <f t="shared" si="6"/>
        <v>210.38975671232879</v>
      </c>
      <c r="W44" s="32">
        <f t="shared" si="14"/>
        <v>214.59755184657536</v>
      </c>
      <c r="X44" s="32">
        <f t="shared" si="15"/>
        <v>218.80534698082195</v>
      </c>
      <c r="Y44" s="115" t="s">
        <v>25</v>
      </c>
      <c r="Z44" s="115"/>
      <c r="AA44" s="115"/>
      <c r="AB44" s="115"/>
      <c r="AC44" s="115"/>
      <c r="AD44" s="115" t="s">
        <v>25</v>
      </c>
      <c r="AE44" s="115"/>
      <c r="AF44" s="115"/>
      <c r="AH44" s="99">
        <v>25</v>
      </c>
      <c r="AI44" s="113" t="s">
        <v>4051</v>
      </c>
      <c r="AJ44" s="113">
        <v>110000</v>
      </c>
      <c r="AK44" s="99">
        <v>1</v>
      </c>
      <c r="AL44" s="99">
        <f t="shared" si="10"/>
        <v>408</v>
      </c>
      <c r="AM44" s="113">
        <f t="shared" si="11"/>
        <v>44880000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9" t="s">
        <v>5190</v>
      </c>
      <c r="N45" s="117">
        <f t="shared" si="16"/>
        <v>241989.5</v>
      </c>
      <c r="O45" s="69">
        <v>113</v>
      </c>
      <c r="P45" s="69">
        <v>2141.5</v>
      </c>
      <c r="Q45" s="169">
        <v>119890</v>
      </c>
      <c r="R45" s="213" t="s">
        <v>5066</v>
      </c>
      <c r="S45" s="197">
        <f>S44-6</f>
        <v>29</v>
      </c>
      <c r="T45" s="213" t="s">
        <v>5068</v>
      </c>
      <c r="U45" s="213">
        <v>210.1</v>
      </c>
      <c r="V45" s="213">
        <f t="shared" si="6"/>
        <v>217.96752547945206</v>
      </c>
      <c r="W45" s="32">
        <f t="shared" si="14"/>
        <v>222.3268759890411</v>
      </c>
      <c r="X45" s="32">
        <f t="shared" si="15"/>
        <v>226.68622649863016</v>
      </c>
      <c r="Y45" s="115"/>
      <c r="Z45" s="115"/>
      <c r="AA45" s="115"/>
      <c r="AB45" s="115"/>
      <c r="AC45" s="115" t="s">
        <v>25</v>
      </c>
      <c r="AD45" s="115" t="s">
        <v>25</v>
      </c>
      <c r="AE45" s="115"/>
      <c r="AF45" s="115" t="s">
        <v>25</v>
      </c>
      <c r="AH45" s="99">
        <v>26</v>
      </c>
      <c r="AI45" s="113" t="s">
        <v>3800</v>
      </c>
      <c r="AJ45" s="113">
        <v>380000</v>
      </c>
      <c r="AK45" s="99">
        <v>7</v>
      </c>
      <c r="AL45" s="99">
        <f t="shared" si="10"/>
        <v>407</v>
      </c>
      <c r="AM45" s="113">
        <f t="shared" si="11"/>
        <v>154660000</v>
      </c>
      <c r="AN45" s="99"/>
      <c r="AQ45" s="96"/>
      <c r="AR45" s="96"/>
      <c r="AS45" s="96"/>
      <c r="AV45" s="96"/>
    </row>
    <row r="46" spans="1:54" ht="30">
      <c r="A46" s="62">
        <v>99</v>
      </c>
      <c r="B46" s="11">
        <v>44</v>
      </c>
      <c r="C46" s="50">
        <f t="shared" si="4"/>
        <v>4968845.0263747573</v>
      </c>
      <c r="D46" s="3">
        <f t="shared" si="5"/>
        <v>4036335.7543016877</v>
      </c>
      <c r="E46" s="3">
        <f t="shared" si="12"/>
        <v>456143524.53016472</v>
      </c>
      <c r="F46" s="3"/>
      <c r="G46" s="11"/>
      <c r="H46" s="11"/>
      <c r="K46" s="263" t="s">
        <v>5178</v>
      </c>
      <c r="L46" s="117">
        <f>151067*P46+500*P43</f>
        <v>38730407.800000004</v>
      </c>
      <c r="M46" s="19" t="s">
        <v>4178</v>
      </c>
      <c r="N46" s="113">
        <f t="shared" si="16"/>
        <v>746202089.60000002</v>
      </c>
      <c r="O46" s="99">
        <v>3065744</v>
      </c>
      <c r="P46" s="99">
        <v>243.4</v>
      </c>
      <c r="Q46" s="169">
        <v>102858</v>
      </c>
      <c r="R46" s="213" t="s">
        <v>5085</v>
      </c>
      <c r="S46" s="197">
        <f>S45-6</f>
        <v>23</v>
      </c>
      <c r="T46" s="213" t="s">
        <v>5088</v>
      </c>
      <c r="U46" s="213">
        <v>213.3</v>
      </c>
      <c r="V46" s="213">
        <f t="shared" si="6"/>
        <v>220.30559013698632</v>
      </c>
      <c r="W46" s="32">
        <f t="shared" si="14"/>
        <v>224.71170193972605</v>
      </c>
      <c r="X46" s="32">
        <f t="shared" si="15"/>
        <v>229.11781374246578</v>
      </c>
      <c r="Y46" s="115" t="s">
        <v>25</v>
      </c>
      <c r="Z46" s="115"/>
      <c r="AA46" s="115"/>
      <c r="AB46" s="115"/>
      <c r="AC46" s="115"/>
      <c r="AD46" s="115"/>
      <c r="AE46" s="115"/>
      <c r="AF46" s="115"/>
      <c r="AH46" s="99">
        <v>27</v>
      </c>
      <c r="AI46" s="113" t="s">
        <v>3886</v>
      </c>
      <c r="AJ46" s="113">
        <v>450000</v>
      </c>
      <c r="AK46" s="99">
        <v>6</v>
      </c>
      <c r="AL46" s="99">
        <f t="shared" si="10"/>
        <v>400</v>
      </c>
      <c r="AM46" s="113">
        <f t="shared" si="11"/>
        <v>180000000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21" t="s">
        <v>1085</v>
      </c>
      <c r="N47" s="117">
        <f t="shared" si="16"/>
        <v>0</v>
      </c>
      <c r="O47" s="69">
        <v>0</v>
      </c>
      <c r="P47" s="69">
        <v>418000</v>
      </c>
      <c r="Q47" s="169">
        <v>1324444</v>
      </c>
      <c r="R47" s="213" t="s">
        <v>5085</v>
      </c>
      <c r="S47" s="197">
        <f>S46</f>
        <v>23</v>
      </c>
      <c r="T47" s="213" t="s">
        <v>5089</v>
      </c>
      <c r="U47" s="213">
        <v>821.9</v>
      </c>
      <c r="V47" s="213">
        <f t="shared" si="6"/>
        <v>848.89434849315069</v>
      </c>
      <c r="W47" s="32">
        <f t="shared" si="14"/>
        <v>865.87223546301368</v>
      </c>
      <c r="X47" s="32">
        <f t="shared" si="15"/>
        <v>882.85012243287679</v>
      </c>
      <c r="Y47" s="122" t="s">
        <v>25</v>
      </c>
      <c r="Z47" s="115"/>
      <c r="AA47" s="115"/>
      <c r="AB47" s="115"/>
      <c r="AC47" s="115"/>
      <c r="AD47" s="115" t="s">
        <v>25</v>
      </c>
      <c r="AE47" s="115"/>
      <c r="AF47" s="115"/>
      <c r="AH47" s="99">
        <v>28</v>
      </c>
      <c r="AI47" s="113" t="s">
        <v>3910</v>
      </c>
      <c r="AJ47" s="113">
        <v>2800000</v>
      </c>
      <c r="AK47" s="99">
        <v>1</v>
      </c>
      <c r="AL47" s="99">
        <f t="shared" si="10"/>
        <v>394</v>
      </c>
      <c r="AM47" s="113">
        <f t="shared" si="11"/>
        <v>1103200000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73"/>
      <c r="N48" s="117"/>
      <c r="O48" s="122"/>
      <c r="P48" s="122"/>
      <c r="Q48" s="169">
        <v>9991144</v>
      </c>
      <c r="R48" s="213" t="s">
        <v>5092</v>
      </c>
      <c r="S48" s="197">
        <f>S47-2</f>
        <v>21</v>
      </c>
      <c r="T48" s="213" t="s">
        <v>5094</v>
      </c>
      <c r="U48" s="213">
        <v>221</v>
      </c>
      <c r="V48" s="213">
        <f t="shared" si="6"/>
        <v>227.91941917808219</v>
      </c>
      <c r="W48" s="32">
        <f t="shared" si="14"/>
        <v>232.47780756164383</v>
      </c>
      <c r="X48" s="32">
        <f t="shared" si="15"/>
        <v>237.03619594520549</v>
      </c>
      <c r="Y48" s="115" t="s">
        <v>25</v>
      </c>
      <c r="Z48" s="115"/>
      <c r="AA48" s="115"/>
      <c r="AB48" s="115" t="s">
        <v>25</v>
      </c>
      <c r="AC48" s="115"/>
      <c r="AD48" s="115"/>
      <c r="AE48" s="115"/>
      <c r="AF48" s="115"/>
      <c r="AH48" s="99">
        <v>29</v>
      </c>
      <c r="AI48" s="113" t="s">
        <v>3911</v>
      </c>
      <c r="AJ48" s="113">
        <v>-1500000</v>
      </c>
      <c r="AK48" s="99">
        <v>0</v>
      </c>
      <c r="AL48" s="99">
        <f t="shared" si="10"/>
        <v>393</v>
      </c>
      <c r="AM48" s="113">
        <f t="shared" si="11"/>
        <v>-589500000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68" t="s">
        <v>1151</v>
      </c>
      <c r="N49" s="117">
        <v>14908</v>
      </c>
      <c r="O49" s="96" t="s">
        <v>25</v>
      </c>
      <c r="P49" t="s">
        <v>25</v>
      </c>
      <c r="Q49" s="169">
        <v>241238</v>
      </c>
      <c r="R49" s="213" t="s">
        <v>5121</v>
      </c>
      <c r="S49" s="197">
        <f>S48-17</f>
        <v>4</v>
      </c>
      <c r="T49" s="213" t="s">
        <v>5123</v>
      </c>
      <c r="U49" s="213">
        <v>692</v>
      </c>
      <c r="V49" s="213">
        <f t="shared" si="6"/>
        <v>704.64179726027407</v>
      </c>
      <c r="W49" s="32">
        <f t="shared" si="14"/>
        <v>718.73463320547955</v>
      </c>
      <c r="X49" s="32">
        <f t="shared" si="15"/>
        <v>732.82746915068503</v>
      </c>
      <c r="Y49" s="122" t="s">
        <v>25</v>
      </c>
      <c r="AC49" t="s">
        <v>25</v>
      </c>
      <c r="AD49" t="s">
        <v>25</v>
      </c>
      <c r="AF49" s="115"/>
      <c r="AH49" s="99">
        <v>30</v>
      </c>
      <c r="AI49" s="113" t="s">
        <v>3911</v>
      </c>
      <c r="AJ49" s="113">
        <v>3050000</v>
      </c>
      <c r="AK49" s="99">
        <v>3</v>
      </c>
      <c r="AL49" s="99">
        <f>AL50+AK49</f>
        <v>393</v>
      </c>
      <c r="AM49" s="113">
        <f t="shared" si="11"/>
        <v>1198650000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68" t="s">
        <v>1152</v>
      </c>
      <c r="N50" s="117">
        <v>5282</v>
      </c>
      <c r="O50" s="96" t="s">
        <v>25</v>
      </c>
      <c r="P50" t="s">
        <v>25</v>
      </c>
      <c r="Q50" s="169">
        <v>23124984</v>
      </c>
      <c r="R50" s="213" t="s">
        <v>5129</v>
      </c>
      <c r="S50" s="197">
        <f>S49-2</f>
        <v>2</v>
      </c>
      <c r="T50" s="213" t="s">
        <v>5132</v>
      </c>
      <c r="U50" s="213">
        <v>234</v>
      </c>
      <c r="V50" s="213">
        <f t="shared" si="6"/>
        <v>237.91581369863016</v>
      </c>
      <c r="W50" s="32">
        <f t="shared" si="14"/>
        <v>242.67412997260277</v>
      </c>
      <c r="X50" s="32">
        <f t="shared" si="15"/>
        <v>247.43244624657538</v>
      </c>
      <c r="Y50" t="s">
        <v>25</v>
      </c>
      <c r="AA50" s="96"/>
      <c r="AH50" s="99">
        <v>31</v>
      </c>
      <c r="AI50" s="113" t="s">
        <v>3935</v>
      </c>
      <c r="AJ50" s="113">
        <v>-8299612</v>
      </c>
      <c r="AK50" s="99">
        <v>2</v>
      </c>
      <c r="AL50" s="99">
        <f t="shared" si="10"/>
        <v>390</v>
      </c>
      <c r="AM50" s="113">
        <f t="shared" si="11"/>
        <v>-3236848680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c r="N51" s="113"/>
      <c r="O51" s="115"/>
      <c r="P51" s="115"/>
      <c r="Q51" s="169">
        <v>39362756</v>
      </c>
      <c r="R51" s="213" t="s">
        <v>5133</v>
      </c>
      <c r="S51" s="197">
        <f>S50-1</f>
        <v>1</v>
      </c>
      <c r="T51" s="213" t="s">
        <v>5135</v>
      </c>
      <c r="U51" s="213">
        <v>224</v>
      </c>
      <c r="V51" s="213">
        <f t="shared" si="6"/>
        <v>227.57663561643835</v>
      </c>
      <c r="W51" s="32">
        <f t="shared" si="14"/>
        <v>232.12816832876712</v>
      </c>
      <c r="X51" s="32">
        <f t="shared" si="15"/>
        <v>236.67970104109588</v>
      </c>
      <c r="AA51" s="96"/>
      <c r="AH51" s="99">
        <v>32</v>
      </c>
      <c r="AI51" s="113" t="s">
        <v>3930</v>
      </c>
      <c r="AJ51" s="113">
        <v>5000000</v>
      </c>
      <c r="AK51" s="99">
        <v>14</v>
      </c>
      <c r="AL51" s="99">
        <f t="shared" si="10"/>
        <v>388</v>
      </c>
      <c r="AM51" s="113">
        <f t="shared" si="11"/>
        <v>1940000000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c r="L52" s="117"/>
      <c r="M52" s="168"/>
      <c r="N52" s="113"/>
      <c r="O52" s="99"/>
      <c r="P52" s="99"/>
      <c r="Q52" s="169">
        <v>1913253</v>
      </c>
      <c r="R52" s="213" t="s">
        <v>5127</v>
      </c>
      <c r="S52" s="197">
        <f>S51-1</f>
        <v>0</v>
      </c>
      <c r="T52" s="213" t="s">
        <v>5136</v>
      </c>
      <c r="U52" s="213">
        <v>232.7</v>
      </c>
      <c r="V52" s="213">
        <f t="shared" si="6"/>
        <v>236.23704000000001</v>
      </c>
      <c r="W52" s="32">
        <f t="shared" si="14"/>
        <v>240.96178080000001</v>
      </c>
      <c r="X52" s="32">
        <f t="shared" si="15"/>
        <v>245.68652160000002</v>
      </c>
      <c r="Y52" t="s">
        <v>25</v>
      </c>
      <c r="AA52" s="96"/>
      <c r="AH52" s="99">
        <v>33</v>
      </c>
      <c r="AI52" s="113" t="s">
        <v>989</v>
      </c>
      <c r="AJ52" s="113">
        <v>-90000</v>
      </c>
      <c r="AK52" s="99">
        <v>1</v>
      </c>
      <c r="AL52" s="99">
        <f t="shared" si="10"/>
        <v>374</v>
      </c>
      <c r="AM52" s="113">
        <f t="shared" si="11"/>
        <v>-33660000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c r="L53" s="117"/>
      <c r="M53" s="168"/>
      <c r="N53" s="113"/>
      <c r="Q53" s="169">
        <v>399924</v>
      </c>
      <c r="R53" s="213" t="s">
        <v>5148</v>
      </c>
      <c r="S53" s="197">
        <f>S52-10</f>
        <v>-10</v>
      </c>
      <c r="T53" s="213" t="s">
        <v>5149</v>
      </c>
      <c r="U53" s="213">
        <v>237.8</v>
      </c>
      <c r="V53" s="213">
        <f t="shared" si="6"/>
        <v>239.59034082191783</v>
      </c>
      <c r="W53" s="32">
        <f t="shared" si="14"/>
        <v>244.3821476383562</v>
      </c>
      <c r="X53" s="32">
        <f t="shared" si="15"/>
        <v>249.17395445479457</v>
      </c>
      <c r="Y53" t="s">
        <v>25</v>
      </c>
      <c r="Z53" t="s">
        <v>25</v>
      </c>
      <c r="AH53" s="99">
        <v>34</v>
      </c>
      <c r="AI53" s="113" t="s">
        <v>4052</v>
      </c>
      <c r="AJ53" s="113">
        <v>5600000</v>
      </c>
      <c r="AK53" s="99">
        <v>4</v>
      </c>
      <c r="AL53" s="99">
        <f t="shared" si="10"/>
        <v>373</v>
      </c>
      <c r="AM53" s="113">
        <f t="shared" si="11"/>
        <v>2088800000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Q54" s="169">
        <v>108145</v>
      </c>
      <c r="R54" s="213" t="s">
        <v>5160</v>
      </c>
      <c r="S54" s="197">
        <f>S53-3</f>
        <v>-13</v>
      </c>
      <c r="T54" s="213" t="s">
        <v>5162</v>
      </c>
      <c r="U54" s="213">
        <v>708.2</v>
      </c>
      <c r="V54" s="213">
        <f t="shared" si="6"/>
        <v>711.9020427397262</v>
      </c>
      <c r="W54" s="32">
        <f t="shared" si="14"/>
        <v>726.14008359452077</v>
      </c>
      <c r="X54" s="32">
        <f t="shared" si="15"/>
        <v>740.37812444931524</v>
      </c>
      <c r="Y54" t="s">
        <v>25</v>
      </c>
      <c r="AH54" s="99">
        <v>35</v>
      </c>
      <c r="AI54" s="113" t="s">
        <v>3980</v>
      </c>
      <c r="AJ54" s="113">
        <v>750000</v>
      </c>
      <c r="AK54" s="99">
        <v>2</v>
      </c>
      <c r="AL54" s="99">
        <f t="shared" si="10"/>
        <v>369</v>
      </c>
      <c r="AM54" s="113">
        <f t="shared" si="11"/>
        <v>276750000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t="s">
        <v>4439</v>
      </c>
      <c r="N55" s="113">
        <f>-S157</f>
        <v>-20634119.788974971</v>
      </c>
      <c r="Q55" s="169">
        <v>196926</v>
      </c>
      <c r="R55" s="213" t="s">
        <v>5179</v>
      </c>
      <c r="S55" s="197">
        <f>S54-5</f>
        <v>-18</v>
      </c>
      <c r="T55" s="213" t="s">
        <v>5180</v>
      </c>
      <c r="U55" s="213">
        <v>4083.7</v>
      </c>
      <c r="V55" s="213">
        <f t="shared" si="6"/>
        <v>4089.3836153424659</v>
      </c>
      <c r="W55" s="32">
        <f t="shared" si="14"/>
        <v>4171.1712876493157</v>
      </c>
      <c r="X55" s="32">
        <f t="shared" si="15"/>
        <v>4252.958959956165</v>
      </c>
      <c r="Y55" t="s">
        <v>25</v>
      </c>
      <c r="AH55" s="171">
        <v>36</v>
      </c>
      <c r="AI55" s="170" t="s">
        <v>3990</v>
      </c>
      <c r="AJ55" s="170">
        <v>-4242000</v>
      </c>
      <c r="AK55" s="171">
        <v>2</v>
      </c>
      <c r="AL55" s="171">
        <f t="shared" si="10"/>
        <v>367</v>
      </c>
      <c r="AM55" s="170">
        <f t="shared" si="11"/>
        <v>-1556814000</v>
      </c>
      <c r="AN55" s="171" t="s">
        <v>4061</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P56" t="s">
        <v>25</v>
      </c>
      <c r="Q56" s="169">
        <v>500584</v>
      </c>
      <c r="R56" s="213" t="s">
        <v>5185</v>
      </c>
      <c r="S56" s="197">
        <f>S55-1</f>
        <v>-19</v>
      </c>
      <c r="T56" s="213" t="s">
        <v>5186</v>
      </c>
      <c r="U56" s="213">
        <v>4051</v>
      </c>
      <c r="V56" s="213">
        <f t="shared" si="6"/>
        <v>4053.5304876712339</v>
      </c>
      <c r="W56" s="32">
        <f t="shared" si="14"/>
        <v>4134.6010974246583</v>
      </c>
      <c r="X56" s="32">
        <f t="shared" si="15"/>
        <v>4215.6717071780831</v>
      </c>
      <c r="Y56" s="96" t="s">
        <v>25</v>
      </c>
      <c r="AH56" s="99">
        <v>37</v>
      </c>
      <c r="AI56" s="113" t="s">
        <v>3990</v>
      </c>
      <c r="AJ56" s="113">
        <v>4100000</v>
      </c>
      <c r="AK56" s="99">
        <v>0</v>
      </c>
      <c r="AL56" s="99">
        <f t="shared" si="10"/>
        <v>365</v>
      </c>
      <c r="AM56" s="113">
        <f t="shared" si="11"/>
        <v>1496500000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t="s">
        <v>25</v>
      </c>
      <c r="P57" t="s">
        <v>25</v>
      </c>
      <c r="Q57" s="169">
        <v>502812</v>
      </c>
      <c r="R57" s="213" t="s">
        <v>5188</v>
      </c>
      <c r="S57" s="197">
        <f>S56-2</f>
        <v>-21</v>
      </c>
      <c r="T57" s="213" t="s">
        <v>5189</v>
      </c>
      <c r="U57" s="213">
        <v>241.2</v>
      </c>
      <c r="V57" s="213">
        <f t="shared" si="6"/>
        <v>240.98060712328768</v>
      </c>
      <c r="W57" s="32">
        <f t="shared" si="14"/>
        <v>245.80021926575344</v>
      </c>
      <c r="X57" s="32">
        <f t="shared" si="15"/>
        <v>250.6198314082192</v>
      </c>
      <c r="AH57" s="99">
        <v>38</v>
      </c>
      <c r="AI57" s="113" t="s">
        <v>3996</v>
      </c>
      <c r="AJ57" s="113">
        <v>4100000</v>
      </c>
      <c r="AK57" s="99">
        <v>1</v>
      </c>
      <c r="AL57" s="99">
        <f t="shared" si="10"/>
        <v>365</v>
      </c>
      <c r="AM57" s="113">
        <f t="shared" si="11"/>
        <v>1496500000</v>
      </c>
      <c r="AN57" s="99"/>
    </row>
    <row r="58" spans="1:45">
      <c r="A58" s="63">
        <v>1400</v>
      </c>
      <c r="B58" s="11">
        <v>56</v>
      </c>
      <c r="C58" s="50">
        <f t="shared" si="4"/>
        <v>5599018.9465658255</v>
      </c>
      <c r="D58" s="3">
        <f t="shared" si="5"/>
        <v>4548244.1579637462</v>
      </c>
      <c r="E58" s="3">
        <f t="shared" si="12"/>
        <v>591819398.97808707</v>
      </c>
      <c r="F58" s="3"/>
      <c r="G58" s="11"/>
      <c r="H58" s="11"/>
      <c r="K58" s="168" t="s">
        <v>598</v>
      </c>
      <c r="L58" s="113">
        <f>SUM(L16:L44)</f>
        <v>535945197.09899068</v>
      </c>
      <c r="M58" s="168"/>
      <c r="N58" s="113">
        <f>SUM(N16:N57)</f>
        <v>702819380.0120343</v>
      </c>
      <c r="Q58" s="169">
        <v>209998</v>
      </c>
      <c r="R58" s="213" t="s">
        <v>5168</v>
      </c>
      <c r="S58" s="197">
        <f>S57-3</f>
        <v>-24</v>
      </c>
      <c r="T58" s="213" t="s">
        <v>5191</v>
      </c>
      <c r="U58" s="213">
        <v>1850</v>
      </c>
      <c r="V58" s="213">
        <f t="shared" si="6"/>
        <v>1844.0597260273973</v>
      </c>
      <c r="W58" s="32">
        <f t="shared" si="14"/>
        <v>1880.9409205479453</v>
      </c>
      <c r="X58" s="32">
        <f t="shared" si="15"/>
        <v>1917.8221150684933</v>
      </c>
      <c r="Y58" t="s">
        <v>25</v>
      </c>
      <c r="AH58" s="99">
        <v>39</v>
      </c>
      <c r="AI58" s="113" t="s">
        <v>4005</v>
      </c>
      <c r="AJ58" s="113">
        <v>790000</v>
      </c>
      <c r="AK58" s="99">
        <v>15</v>
      </c>
      <c r="AL58" s="99">
        <f t="shared" si="10"/>
        <v>364</v>
      </c>
      <c r="AM58" s="113">
        <f t="shared" si="11"/>
        <v>287560000</v>
      </c>
      <c r="AN58" s="99"/>
    </row>
    <row r="59" spans="1:45">
      <c r="A59" s="63">
        <v>1400</v>
      </c>
      <c r="B59" s="11">
        <v>57</v>
      </c>
      <c r="C59" s="50">
        <f t="shared" si="4"/>
        <v>5655009.1360314842</v>
      </c>
      <c r="D59" s="3">
        <f t="shared" si="5"/>
        <v>4593726.5995433833</v>
      </c>
      <c r="E59" s="3">
        <f t="shared" si="12"/>
        <v>604717069.49413705</v>
      </c>
      <c r="F59" s="3"/>
      <c r="G59" s="11"/>
      <c r="H59" s="11"/>
      <c r="K59" s="168" t="s">
        <v>599</v>
      </c>
      <c r="L59" s="113">
        <f>L16+L17+L26</f>
        <v>673077</v>
      </c>
      <c r="M59" s="168"/>
      <c r="N59" s="113">
        <f>N16+N17+N33</f>
        <v>641053</v>
      </c>
      <c r="Q59" s="169"/>
      <c r="R59" s="168"/>
      <c r="S59" s="168"/>
      <c r="T59" s="168"/>
      <c r="U59" s="168"/>
      <c r="V59" s="213">
        <f t="shared" si="6"/>
        <v>0</v>
      </c>
      <c r="W59" s="32">
        <f t="shared" si="14"/>
        <v>0</v>
      </c>
      <c r="X59" s="32">
        <f t="shared" si="15"/>
        <v>0</v>
      </c>
      <c r="Y59" t="s">
        <v>25</v>
      </c>
      <c r="Z59" s="96"/>
      <c r="AA59" s="96"/>
      <c r="AB59" s="96"/>
      <c r="AC59" s="96"/>
      <c r="AH59" s="171">
        <v>40</v>
      </c>
      <c r="AI59" s="170" t="s">
        <v>4036</v>
      </c>
      <c r="AJ59" s="170">
        <v>-3865000</v>
      </c>
      <c r="AK59" s="171">
        <v>6</v>
      </c>
      <c r="AL59" s="171">
        <f t="shared" si="10"/>
        <v>349</v>
      </c>
      <c r="AM59" s="172">
        <f t="shared" si="11"/>
        <v>-1348885000</v>
      </c>
      <c r="AN59" s="171" t="s">
        <v>4062</v>
      </c>
    </row>
    <row r="60" spans="1:45">
      <c r="A60" s="63">
        <v>1400</v>
      </c>
      <c r="B60" s="11">
        <v>58</v>
      </c>
      <c r="C60" s="3">
        <f t="shared" si="4"/>
        <v>5711559.227391799</v>
      </c>
      <c r="D60" s="3">
        <f t="shared" si="5"/>
        <v>4639663.8655388169</v>
      </c>
      <c r="E60" s="3">
        <f t="shared" si="12"/>
        <v>617883306.24587286</v>
      </c>
      <c r="F60" s="3"/>
      <c r="G60" s="11"/>
      <c r="H60" s="11"/>
      <c r="K60" s="56" t="s">
        <v>716</v>
      </c>
      <c r="L60" s="1">
        <f>L58+N7</f>
        <v>635945197.09899068</v>
      </c>
      <c r="M60" s="113"/>
      <c r="N60" s="168"/>
      <c r="O60" s="115"/>
      <c r="P60" s="115"/>
      <c r="Q60" s="169">
        <f>SUM(N21:N24)-SUM(Q20:Q59)</f>
        <v>96812564.5</v>
      </c>
      <c r="R60" s="168"/>
      <c r="S60" s="168" t="s">
        <v>25</v>
      </c>
      <c r="T60" s="168"/>
      <c r="U60" s="168"/>
      <c r="V60" s="168"/>
      <c r="W60" s="32"/>
      <c r="X60" s="32"/>
      <c r="Y60" t="s">
        <v>25</v>
      </c>
      <c r="Z60" s="96" t="s">
        <v>25</v>
      </c>
      <c r="AA60" s="96"/>
      <c r="AB60" s="96"/>
      <c r="AC60" s="96"/>
      <c r="AH60" s="20">
        <v>41</v>
      </c>
      <c r="AI60" s="117" t="s">
        <v>4066</v>
      </c>
      <c r="AJ60" s="117">
        <v>18800000</v>
      </c>
      <c r="AK60" s="20">
        <v>3</v>
      </c>
      <c r="AL60" s="99">
        <f t="shared" si="10"/>
        <v>343</v>
      </c>
      <c r="AM60" s="113">
        <f t="shared" si="11"/>
        <v>6448400000</v>
      </c>
      <c r="AN60" s="20"/>
    </row>
    <row r="61" spans="1:45">
      <c r="A61" s="63">
        <v>1400</v>
      </c>
      <c r="B61" s="11">
        <v>59</v>
      </c>
      <c r="C61" s="3">
        <f t="shared" si="4"/>
        <v>5768674.819665717</v>
      </c>
      <c r="D61" s="3">
        <f t="shared" si="5"/>
        <v>4686060.5041942047</v>
      </c>
      <c r="E61" s="3">
        <f t="shared" si="12"/>
        <v>631323586.68626177</v>
      </c>
      <c r="F61" s="3"/>
      <c r="G61" s="11"/>
      <c r="H61" s="11"/>
      <c r="J61">
        <v>32813103</v>
      </c>
      <c r="O61" s="96"/>
      <c r="P61" s="96"/>
      <c r="R61" s="115"/>
      <c r="S61" s="115" t="s">
        <v>25</v>
      </c>
      <c r="T61" s="122" t="s">
        <v>25</v>
      </c>
      <c r="U61" s="115" t="s">
        <v>25</v>
      </c>
      <c r="V61" s="115" t="s">
        <v>25</v>
      </c>
      <c r="W61" s="194" t="s">
        <v>25</v>
      </c>
      <c r="X61" s="194"/>
      <c r="Y61" t="s">
        <v>25</v>
      </c>
      <c r="Z61" s="96"/>
      <c r="AA61" s="96"/>
      <c r="AB61" s="96"/>
      <c r="AC61" s="96"/>
      <c r="AH61" s="20">
        <v>42</v>
      </c>
      <c r="AI61" s="117" t="s">
        <v>4083</v>
      </c>
      <c r="AJ61" s="117">
        <v>500000</v>
      </c>
      <c r="AK61" s="20">
        <v>1</v>
      </c>
      <c r="AL61" s="99">
        <f t="shared" si="10"/>
        <v>340</v>
      </c>
      <c r="AM61" s="113">
        <f t="shared" si="11"/>
        <v>170000000</v>
      </c>
      <c r="AN61" s="20"/>
    </row>
    <row r="62" spans="1:45">
      <c r="A62" s="63">
        <v>1400</v>
      </c>
      <c r="B62" s="11">
        <v>60</v>
      </c>
      <c r="C62" s="3">
        <f t="shared" si="4"/>
        <v>5826361.5678623738</v>
      </c>
      <c r="D62" s="3">
        <f t="shared" si="5"/>
        <v>4732921.1092361463</v>
      </c>
      <c r="E62" s="46">
        <f t="shared" si="12"/>
        <v>645043498.87861323</v>
      </c>
      <c r="F62" s="3"/>
      <c r="G62" s="11"/>
      <c r="H62" s="11"/>
      <c r="J62">
        <v>15774850</v>
      </c>
      <c r="K62">
        <v>134410</v>
      </c>
      <c r="M62" s="25"/>
      <c r="O62" t="s">
        <v>25</v>
      </c>
      <c r="Q62" s="96"/>
      <c r="R62" s="115"/>
      <c r="S62" s="115"/>
      <c r="T62" s="115" t="s">
        <v>25</v>
      </c>
      <c r="U62" s="115" t="s">
        <v>25</v>
      </c>
      <c r="V62" s="115"/>
      <c r="W62" s="194"/>
      <c r="X62" s="194" t="s">
        <v>25</v>
      </c>
      <c r="Y62" t="s">
        <v>25</v>
      </c>
      <c r="Z62" s="96"/>
      <c r="AA62" s="96"/>
      <c r="AB62" s="96"/>
      <c r="AC62" s="96"/>
      <c r="AH62" s="20">
        <v>43</v>
      </c>
      <c r="AI62" s="117" t="s">
        <v>4087</v>
      </c>
      <c r="AJ62" s="117">
        <v>200000</v>
      </c>
      <c r="AK62" s="20">
        <v>3</v>
      </c>
      <c r="AL62" s="99">
        <f>AL63+AK62</f>
        <v>339</v>
      </c>
      <c r="AM62" s="113">
        <f t="shared" si="11"/>
        <v>67800000</v>
      </c>
      <c r="AN62" s="20"/>
    </row>
    <row r="63" spans="1:45">
      <c r="E63" s="26"/>
      <c r="J63">
        <f>J61-J62</f>
        <v>17038253</v>
      </c>
      <c r="K63">
        <f>J62*K62/J61</f>
        <v>64617.405690037907</v>
      </c>
      <c r="M63" s="25" t="s">
        <v>4079</v>
      </c>
      <c r="N63" s="96"/>
      <c r="O63" s="96"/>
      <c r="P63" s="115"/>
      <c r="Q63" s="168" t="s">
        <v>657</v>
      </c>
      <c r="R63" s="168"/>
      <c r="S63" s="168"/>
      <c r="T63" s="168"/>
      <c r="U63" s="168"/>
      <c r="V63" s="168"/>
      <c r="W63" s="32"/>
      <c r="X63" s="32"/>
      <c r="Y63" t="s">
        <v>25</v>
      </c>
      <c r="Z63" s="96"/>
      <c r="AA63" s="96"/>
      <c r="AB63" s="96"/>
      <c r="AC63" s="96"/>
      <c r="AH63" s="20">
        <v>44</v>
      </c>
      <c r="AI63" s="117" t="s">
        <v>4094</v>
      </c>
      <c r="AJ63" s="117">
        <v>1000000</v>
      </c>
      <c r="AK63" s="20">
        <v>3</v>
      </c>
      <c r="AL63" s="99">
        <f t="shared" si="10"/>
        <v>336</v>
      </c>
      <c r="AM63" s="113">
        <f t="shared" si="11"/>
        <v>336000000</v>
      </c>
      <c r="AN63" s="20"/>
    </row>
    <row r="64" spans="1:45" ht="30">
      <c r="E64" s="26"/>
      <c r="K64">
        <f>K62-K63</f>
        <v>69792.594309962093</v>
      </c>
      <c r="M64" s="177"/>
      <c r="N64" s="96"/>
      <c r="O64" s="96"/>
      <c r="P64" s="115"/>
      <c r="Q64" s="168" t="s">
        <v>267</v>
      </c>
      <c r="R64" s="168" t="s">
        <v>180</v>
      </c>
      <c r="S64" s="168" t="s">
        <v>183</v>
      </c>
      <c r="T64" s="168" t="s">
        <v>8</v>
      </c>
      <c r="U64" s="168" t="s">
        <v>4361</v>
      </c>
      <c r="V64" s="73" t="s">
        <v>4363</v>
      </c>
      <c r="W64" s="32">
        <v>2</v>
      </c>
      <c r="X64" s="32">
        <v>4</v>
      </c>
      <c r="Z64" s="96"/>
      <c r="AA64" s="96"/>
      <c r="AB64" s="96"/>
      <c r="AC64" s="96"/>
      <c r="AH64" s="20">
        <v>45</v>
      </c>
      <c r="AI64" s="117" t="s">
        <v>4106</v>
      </c>
      <c r="AJ64" s="117">
        <v>1300000</v>
      </c>
      <c r="AK64" s="20">
        <v>0</v>
      </c>
      <c r="AL64" s="99">
        <f>AL65+AK64</f>
        <v>333</v>
      </c>
      <c r="AM64" s="113">
        <f t="shared" si="11"/>
        <v>432900000</v>
      </c>
      <c r="AN64" s="20"/>
    </row>
    <row r="65" spans="1:40">
      <c r="M65" s="96" t="s">
        <v>4798</v>
      </c>
      <c r="N65" s="96"/>
      <c r="O65" s="96"/>
      <c r="Q65" s="168">
        <v>0</v>
      </c>
      <c r="R65" s="168" t="s">
        <v>4171</v>
      </c>
      <c r="S65" s="168">
        <f>S95</f>
        <v>298</v>
      </c>
      <c r="T65" s="168"/>
      <c r="U65" s="168"/>
      <c r="V65" s="73"/>
      <c r="W65" s="32"/>
      <c r="X65" s="32"/>
      <c r="Z65" s="96"/>
      <c r="AA65" s="96"/>
      <c r="AB65" s="96"/>
      <c r="AC65" s="96"/>
      <c r="AH65" s="20">
        <v>45</v>
      </c>
      <c r="AI65" s="117" t="s">
        <v>4106</v>
      </c>
      <c r="AJ65" s="117">
        <v>995000</v>
      </c>
      <c r="AK65" s="20">
        <v>2</v>
      </c>
      <c r="AL65" s="99">
        <f t="shared" ref="AL65:AL92" si="17">AL66+AK65</f>
        <v>333</v>
      </c>
      <c r="AM65" s="113">
        <f t="shared" si="11"/>
        <v>331335000</v>
      </c>
      <c r="AN65" s="20"/>
    </row>
    <row r="66" spans="1:40">
      <c r="M66" s="122" t="s">
        <v>4407</v>
      </c>
      <c r="O66" s="114"/>
      <c r="Q66" s="169">
        <v>863944</v>
      </c>
      <c r="R66" s="168" t="s">
        <v>4431</v>
      </c>
      <c r="S66" s="168">
        <f>S65-62</f>
        <v>236</v>
      </c>
      <c r="T66" s="190" t="s">
        <v>4503</v>
      </c>
      <c r="U66" s="168">
        <v>184.6</v>
      </c>
      <c r="V66" s="168">
        <f t="shared" ref="V66:V86" si="18">U66*(1+$R$91+$Q$15*S66/36500)</f>
        <v>220.82610630136986</v>
      </c>
      <c r="W66" s="32">
        <f t="shared" ref="W66:W86" si="19">V66*(1+$W$19/100)</f>
        <v>225.24262842739725</v>
      </c>
      <c r="X66" s="32">
        <f t="shared" ref="X66:X86" si="20">V66*(1+$X$19/100)</f>
        <v>229.65915055342467</v>
      </c>
      <c r="Y66" t="s">
        <v>25</v>
      </c>
      <c r="Z66" s="96"/>
      <c r="AA66" s="96"/>
      <c r="AB66" s="96"/>
      <c r="AC66" s="96"/>
      <c r="AH66" s="20">
        <v>46</v>
      </c>
      <c r="AI66" s="117" t="s">
        <v>4116</v>
      </c>
      <c r="AJ66" s="117">
        <v>13000000</v>
      </c>
      <c r="AK66" s="20">
        <v>2</v>
      </c>
      <c r="AL66" s="99">
        <f t="shared" si="17"/>
        <v>331</v>
      </c>
      <c r="AM66" s="113">
        <f t="shared" si="11"/>
        <v>4303000000</v>
      </c>
      <c r="AN66" s="20"/>
    </row>
    <row r="67" spans="1:40">
      <c r="A67" t="s">
        <v>25</v>
      </c>
      <c r="F67" t="s">
        <v>310</v>
      </c>
      <c r="G67" t="s">
        <v>4098</v>
      </c>
      <c r="M67" s="122" t="s">
        <v>4500</v>
      </c>
      <c r="N67" s="96"/>
      <c r="Q67" s="169">
        <v>1692313</v>
      </c>
      <c r="R67" s="168" t="s">
        <v>4506</v>
      </c>
      <c r="S67" s="197">
        <f>S66-21</f>
        <v>215</v>
      </c>
      <c r="T67" s="189" t="s">
        <v>4507</v>
      </c>
      <c r="U67" s="168">
        <v>168.5</v>
      </c>
      <c r="V67" s="168">
        <f t="shared" si="18"/>
        <v>198.85215890410961</v>
      </c>
      <c r="W67" s="32">
        <f t="shared" si="19"/>
        <v>202.82920208219181</v>
      </c>
      <c r="X67" s="32">
        <f t="shared" si="20"/>
        <v>206.80624526027401</v>
      </c>
      <c r="Y67" t="s">
        <v>25</v>
      </c>
      <c r="Z67" s="96"/>
      <c r="AA67" s="96"/>
      <c r="AB67" s="96"/>
      <c r="AC67" s="96"/>
      <c r="AH67" s="20">
        <v>47</v>
      </c>
      <c r="AI67" s="117" t="s">
        <v>4129</v>
      </c>
      <c r="AJ67" s="117">
        <v>-3100000</v>
      </c>
      <c r="AK67" s="20">
        <v>3</v>
      </c>
      <c r="AL67" s="99">
        <f t="shared" si="17"/>
        <v>329</v>
      </c>
      <c r="AM67" s="113">
        <f t="shared" si="11"/>
        <v>-1019900000</v>
      </c>
      <c r="AN67" s="20"/>
    </row>
    <row r="68" spans="1:40">
      <c r="F68" t="s">
        <v>4102</v>
      </c>
      <c r="G68" t="s">
        <v>4097</v>
      </c>
      <c r="M68" s="122" t="s">
        <v>4570</v>
      </c>
      <c r="N68" s="96"/>
      <c r="P68" t="s">
        <v>25</v>
      </c>
      <c r="Q68" s="169">
        <v>101153</v>
      </c>
      <c r="R68" s="168" t="s">
        <v>4509</v>
      </c>
      <c r="S68" s="197">
        <f>S67-1</f>
        <v>214</v>
      </c>
      <c r="T68" s="189" t="s">
        <v>4511</v>
      </c>
      <c r="U68" s="168">
        <v>166.7</v>
      </c>
      <c r="V68" s="168">
        <f t="shared" si="18"/>
        <v>196.60004273972601</v>
      </c>
      <c r="W68" s="32">
        <f t="shared" si="19"/>
        <v>200.53204359452053</v>
      </c>
      <c r="X68" s="32">
        <f t="shared" si="20"/>
        <v>204.46404444931505</v>
      </c>
      <c r="Z68" s="96"/>
      <c r="AA68" s="96"/>
      <c r="AB68" s="96"/>
      <c r="AC68" s="96"/>
      <c r="AH68" s="20">
        <v>48</v>
      </c>
      <c r="AI68" s="117" t="s">
        <v>4144</v>
      </c>
      <c r="AJ68" s="117">
        <v>45640000</v>
      </c>
      <c r="AK68" s="20">
        <v>1</v>
      </c>
      <c r="AL68" s="99">
        <f t="shared" si="17"/>
        <v>326</v>
      </c>
      <c r="AM68" s="113">
        <f t="shared" si="11"/>
        <v>14878640000</v>
      </c>
      <c r="AN68" s="20"/>
    </row>
    <row r="69" spans="1:40" ht="30">
      <c r="F69" t="s">
        <v>4103</v>
      </c>
      <c r="G69" t="s">
        <v>4099</v>
      </c>
      <c r="K69" s="212" t="s">
        <v>4734</v>
      </c>
      <c r="L69" s="22" t="s">
        <v>4710</v>
      </c>
      <c r="M69" s="206" t="s">
        <v>4689</v>
      </c>
      <c r="N69" s="96"/>
      <c r="P69" s="115"/>
      <c r="Q69" s="169">
        <v>183105</v>
      </c>
      <c r="R69" s="168" t="s">
        <v>4229</v>
      </c>
      <c r="S69" s="197">
        <f>S68-1</f>
        <v>213</v>
      </c>
      <c r="T69" s="189" t="s">
        <v>4515</v>
      </c>
      <c r="U69" s="168">
        <v>166.6</v>
      </c>
      <c r="V69" s="168">
        <f t="shared" si="18"/>
        <v>196.35430356164386</v>
      </c>
      <c r="W69" s="32">
        <f t="shared" si="19"/>
        <v>200.28138963287674</v>
      </c>
      <c r="X69" s="32">
        <f t="shared" si="20"/>
        <v>204.20847570410962</v>
      </c>
      <c r="Z69" s="96"/>
      <c r="AA69" s="96"/>
      <c r="AB69" s="96"/>
      <c r="AC69" s="96"/>
      <c r="AH69" s="20">
        <v>49</v>
      </c>
      <c r="AI69" s="117" t="s">
        <v>4150</v>
      </c>
      <c r="AJ69" s="117">
        <v>33500000</v>
      </c>
      <c r="AK69" s="20">
        <v>1</v>
      </c>
      <c r="AL69" s="99">
        <f t="shared" si="17"/>
        <v>325</v>
      </c>
      <c r="AM69" s="113">
        <f t="shared" si="11"/>
        <v>10887500000</v>
      </c>
      <c r="AN69" s="20"/>
    </row>
    <row r="70" spans="1:40" ht="21">
      <c r="G70" t="s">
        <v>4100</v>
      </c>
      <c r="K70" t="s">
        <v>4735</v>
      </c>
      <c r="M70" s="260" t="s">
        <v>5061</v>
      </c>
      <c r="N70" s="96"/>
      <c r="P70" s="115" t="s">
        <v>25</v>
      </c>
      <c r="Q70" s="169">
        <v>168846</v>
      </c>
      <c r="R70" s="168" t="s">
        <v>3690</v>
      </c>
      <c r="S70" s="197">
        <f>S69-30</f>
        <v>183</v>
      </c>
      <c r="T70" s="189" t="s">
        <v>4612</v>
      </c>
      <c r="U70" s="168">
        <v>172.2</v>
      </c>
      <c r="V70" s="168">
        <f t="shared" si="18"/>
        <v>198.99148931506849</v>
      </c>
      <c r="W70" s="32">
        <f t="shared" si="19"/>
        <v>202.97131910136986</v>
      </c>
      <c r="X70" s="32">
        <f t="shared" si="20"/>
        <v>206.95114888767125</v>
      </c>
      <c r="AH70" s="20">
        <v>50</v>
      </c>
      <c r="AI70" s="117" t="s">
        <v>4155</v>
      </c>
      <c r="AJ70" s="117">
        <v>12000000</v>
      </c>
      <c r="AK70" s="20">
        <v>1</v>
      </c>
      <c r="AL70" s="99">
        <f t="shared" si="17"/>
        <v>324</v>
      </c>
      <c r="AM70" s="117">
        <f t="shared" si="11"/>
        <v>3888000000</v>
      </c>
      <c r="AN70" s="20"/>
    </row>
    <row r="71" spans="1:40">
      <c r="G71" t="s">
        <v>4101</v>
      </c>
      <c r="K71" t="s">
        <v>4573</v>
      </c>
      <c r="L71" s="96"/>
      <c r="M71" s="122"/>
      <c r="O71" t="s">
        <v>25</v>
      </c>
      <c r="P71" s="115"/>
      <c r="Q71" s="169">
        <v>19918023</v>
      </c>
      <c r="R71" s="5" t="s">
        <v>4866</v>
      </c>
      <c r="S71" s="197">
        <f>S70-75</f>
        <v>108</v>
      </c>
      <c r="T71" s="189" t="s">
        <v>4868</v>
      </c>
      <c r="U71" s="213">
        <v>183</v>
      </c>
      <c r="V71" s="213">
        <f t="shared" si="18"/>
        <v>200.94302465753429</v>
      </c>
      <c r="W71" s="32">
        <f t="shared" si="19"/>
        <v>204.96188515068499</v>
      </c>
      <c r="X71" s="32">
        <f t="shared" si="20"/>
        <v>208.98074564383566</v>
      </c>
      <c r="AH71" s="20">
        <v>51</v>
      </c>
      <c r="AI71" s="117" t="s">
        <v>4161</v>
      </c>
      <c r="AJ71" s="117">
        <v>15500000</v>
      </c>
      <c r="AK71" s="20">
        <v>4</v>
      </c>
      <c r="AL71" s="99">
        <f t="shared" si="17"/>
        <v>323</v>
      </c>
      <c r="AM71" s="117">
        <f t="shared" si="11"/>
        <v>5006500000</v>
      </c>
      <c r="AN71" s="20"/>
    </row>
    <row r="72" spans="1:40">
      <c r="G72" t="s">
        <v>4105</v>
      </c>
      <c r="K72" t="s">
        <v>4799</v>
      </c>
      <c r="M72" s="96">
        <f>O46+O21+O29-O52</f>
        <v>5042670</v>
      </c>
      <c r="N72" s="113">
        <f>M72*P46</f>
        <v>1227385878</v>
      </c>
      <c r="P72" s="115"/>
      <c r="Q72" s="169">
        <v>1200301</v>
      </c>
      <c r="R72" s="19" t="s">
        <v>4956</v>
      </c>
      <c r="S72" s="197">
        <f>S71-34</f>
        <v>74</v>
      </c>
      <c r="T72" s="189" t="s">
        <v>4958</v>
      </c>
      <c r="U72" s="213">
        <v>218.5</v>
      </c>
      <c r="V72" s="213">
        <f t="shared" si="18"/>
        <v>234.22481643835619</v>
      </c>
      <c r="W72" s="32">
        <f t="shared" si="19"/>
        <v>238.90931276712331</v>
      </c>
      <c r="X72" s="32">
        <f t="shared" si="20"/>
        <v>243.59380909589044</v>
      </c>
      <c r="AH72" s="20">
        <v>52</v>
      </c>
      <c r="AI72" s="117" t="s">
        <v>4165</v>
      </c>
      <c r="AJ72" s="117">
        <v>150000</v>
      </c>
      <c r="AK72" s="20">
        <v>1</v>
      </c>
      <c r="AL72" s="99">
        <f t="shared" si="17"/>
        <v>319</v>
      </c>
      <c r="AM72" s="117">
        <f t="shared" si="11"/>
        <v>47850000</v>
      </c>
      <c r="AN72" s="20"/>
    </row>
    <row r="73" spans="1:40">
      <c r="G73" t="s">
        <v>4104</v>
      </c>
      <c r="K73" t="s">
        <v>4800</v>
      </c>
      <c r="M73" t="s">
        <v>4265</v>
      </c>
      <c r="P73" s="115"/>
      <c r="Q73" s="169">
        <v>6135206</v>
      </c>
      <c r="R73" s="19" t="s">
        <v>4986</v>
      </c>
      <c r="S73" s="197">
        <f>S72-16</f>
        <v>58</v>
      </c>
      <c r="T73" s="189" t="s">
        <v>4987</v>
      </c>
      <c r="U73" s="213">
        <v>196.2</v>
      </c>
      <c r="V73" s="213">
        <f t="shared" si="18"/>
        <v>207.91179616438359</v>
      </c>
      <c r="W73" s="32">
        <f t="shared" si="19"/>
        <v>212.07003208767125</v>
      </c>
      <c r="X73" s="32">
        <f t="shared" si="20"/>
        <v>216.22826801095894</v>
      </c>
      <c r="Y73" t="s">
        <v>25</v>
      </c>
      <c r="AH73" s="179">
        <v>53</v>
      </c>
      <c r="AI73" s="180" t="s">
        <v>4171</v>
      </c>
      <c r="AJ73" s="180">
        <v>29000000</v>
      </c>
      <c r="AK73" s="179">
        <v>15</v>
      </c>
      <c r="AL73" s="179">
        <f t="shared" si="17"/>
        <v>318</v>
      </c>
      <c r="AM73" s="180">
        <f t="shared" si="11"/>
        <v>9222000000</v>
      </c>
      <c r="AN73" s="179" t="s">
        <v>4184</v>
      </c>
    </row>
    <row r="74" spans="1:40">
      <c r="K74" t="s">
        <v>4801</v>
      </c>
      <c r="M74" t="s">
        <v>4575</v>
      </c>
      <c r="N74" t="s">
        <v>25</v>
      </c>
      <c r="P74" s="115"/>
      <c r="Q74" s="169">
        <v>104578</v>
      </c>
      <c r="R74" s="19" t="s">
        <v>5010</v>
      </c>
      <c r="S74" s="197">
        <f>S73-9</f>
        <v>49</v>
      </c>
      <c r="T74" s="189" t="s">
        <v>5011</v>
      </c>
      <c r="U74" s="213">
        <v>199.8</v>
      </c>
      <c r="V74" s="213">
        <f t="shared" si="18"/>
        <v>210.34725041095894</v>
      </c>
      <c r="W74" s="32">
        <f t="shared" si="19"/>
        <v>214.55419541917811</v>
      </c>
      <c r="X74" s="32">
        <f t="shared" si="20"/>
        <v>218.76114042739729</v>
      </c>
      <c r="AH74" s="20">
        <v>54</v>
      </c>
      <c r="AI74" s="117" t="s">
        <v>4208</v>
      </c>
      <c r="AJ74" s="117">
        <v>-130000</v>
      </c>
      <c r="AK74" s="20">
        <v>7</v>
      </c>
      <c r="AL74" s="99">
        <f t="shared" si="17"/>
        <v>303</v>
      </c>
      <c r="AM74" s="117">
        <f t="shared" si="11"/>
        <v>-39390000</v>
      </c>
      <c r="AN74" s="20" t="s">
        <v>4210</v>
      </c>
    </row>
    <row r="75" spans="1:40" ht="26.25">
      <c r="G75" s="48" t="s">
        <v>788</v>
      </c>
      <c r="H75" s="201" t="s">
        <v>476</v>
      </c>
      <c r="K75" t="s">
        <v>4533</v>
      </c>
      <c r="M75" s="257"/>
      <c r="P75" s="115"/>
      <c r="Q75" s="169">
        <v>119253</v>
      </c>
      <c r="R75" s="19" t="s">
        <v>5015</v>
      </c>
      <c r="S75" s="197">
        <f>S74-3</f>
        <v>46</v>
      </c>
      <c r="T75" s="189" t="s">
        <v>5017</v>
      </c>
      <c r="U75" s="213">
        <v>199.5</v>
      </c>
      <c r="V75" s="213">
        <f t="shared" si="18"/>
        <v>209.57229041095891</v>
      </c>
      <c r="W75" s="32">
        <f t="shared" si="19"/>
        <v>213.7637362191781</v>
      </c>
      <c r="X75" s="32">
        <f t="shared" si="20"/>
        <v>217.95518202739729</v>
      </c>
      <c r="AH75" s="20">
        <v>55</v>
      </c>
      <c r="AI75" s="117" t="s">
        <v>4256</v>
      </c>
      <c r="AJ75" s="117">
        <v>232000</v>
      </c>
      <c r="AK75" s="20">
        <v>2</v>
      </c>
      <c r="AL75" s="99">
        <f t="shared" si="17"/>
        <v>296</v>
      </c>
      <c r="AM75" s="117">
        <f>AJ75*AL75</f>
        <v>68672000</v>
      </c>
      <c r="AN75" s="20" t="s">
        <v>4258</v>
      </c>
    </row>
    <row r="76" spans="1:40">
      <c r="D76" s="3"/>
      <c r="E76" s="11" t="s">
        <v>304</v>
      </c>
      <c r="G76" s="47">
        <v>700000</v>
      </c>
      <c r="H76" s="201" t="s">
        <v>1038</v>
      </c>
      <c r="K76" t="s">
        <v>4577</v>
      </c>
      <c r="M76" t="s">
        <v>5029</v>
      </c>
      <c r="P76" s="115"/>
      <c r="Q76" s="169">
        <v>30004376</v>
      </c>
      <c r="R76" s="19" t="s">
        <v>5036</v>
      </c>
      <c r="S76" s="197">
        <f>S75-9</f>
        <v>37</v>
      </c>
      <c r="T76" s="189" t="s">
        <v>5037</v>
      </c>
      <c r="U76" s="213">
        <v>200</v>
      </c>
      <c r="V76" s="213">
        <f t="shared" si="18"/>
        <v>208.71671232876716</v>
      </c>
      <c r="W76" s="32">
        <f t="shared" si="19"/>
        <v>212.8910465753425</v>
      </c>
      <c r="X76" s="32">
        <f t="shared" si="20"/>
        <v>217.06538082191784</v>
      </c>
      <c r="Y76" s="122" t="s">
        <v>25</v>
      </c>
      <c r="AH76" s="20">
        <v>56</v>
      </c>
      <c r="AI76" s="117" t="s">
        <v>4267</v>
      </c>
      <c r="AJ76" s="117">
        <v>-170000</v>
      </c>
      <c r="AK76" s="20">
        <v>3</v>
      </c>
      <c r="AL76" s="99">
        <f t="shared" si="17"/>
        <v>294</v>
      </c>
      <c r="AM76" s="117">
        <f t="shared" si="11"/>
        <v>-49980000</v>
      </c>
      <c r="AN76" s="20"/>
    </row>
    <row r="77" spans="1:40">
      <c r="D77" s="1" t="s">
        <v>305</v>
      </c>
      <c r="E77" s="1">
        <v>70000</v>
      </c>
      <c r="G77" s="47">
        <v>500000</v>
      </c>
      <c r="H77" s="201" t="s">
        <v>479</v>
      </c>
      <c r="K77" t="s">
        <v>4532</v>
      </c>
      <c r="M77" s="262" t="s">
        <v>5072</v>
      </c>
      <c r="P77" s="115"/>
      <c r="Q77" s="169">
        <v>119980</v>
      </c>
      <c r="R77" s="19" t="s">
        <v>5066</v>
      </c>
      <c r="S77" s="197">
        <f>S76-8</f>
        <v>29</v>
      </c>
      <c r="T77" s="189" t="s">
        <v>5069</v>
      </c>
      <c r="U77" s="213">
        <v>211</v>
      </c>
      <c r="V77" s="213">
        <f t="shared" si="18"/>
        <v>218.90122739726027</v>
      </c>
      <c r="W77" s="32">
        <f t="shared" si="19"/>
        <v>223.27925194520549</v>
      </c>
      <c r="X77" s="32">
        <f t="shared" si="20"/>
        <v>227.6572764931507</v>
      </c>
      <c r="Y77" t="s">
        <v>25</v>
      </c>
      <c r="AA77" t="s">
        <v>25</v>
      </c>
      <c r="AH77" s="20">
        <v>57</v>
      </c>
      <c r="AI77" s="117" t="s">
        <v>4281</v>
      </c>
      <c r="AJ77" s="117">
        <v>-300000</v>
      </c>
      <c r="AK77" s="20">
        <v>3</v>
      </c>
      <c r="AL77" s="99">
        <f t="shared" si="17"/>
        <v>291</v>
      </c>
      <c r="AM77" s="117">
        <f t="shared" si="11"/>
        <v>-87300000</v>
      </c>
      <c r="AN77" s="20"/>
    </row>
    <row r="78" spans="1:40">
      <c r="D78" s="1" t="s">
        <v>321</v>
      </c>
      <c r="E78" s="1">
        <v>100000</v>
      </c>
      <c r="G78" s="47">
        <v>180000</v>
      </c>
      <c r="H78" s="201" t="s">
        <v>558</v>
      </c>
      <c r="K78" s="22" t="s">
        <v>4241</v>
      </c>
      <c r="M78" s="262" t="s">
        <v>5073</v>
      </c>
      <c r="O78" t="s">
        <v>25</v>
      </c>
      <c r="P78" t="s">
        <v>25</v>
      </c>
      <c r="Q78" s="169">
        <v>106716</v>
      </c>
      <c r="R78" s="19" t="s">
        <v>5085</v>
      </c>
      <c r="S78" s="197">
        <f>S77-6</f>
        <v>23</v>
      </c>
      <c r="T78" s="189" t="s">
        <v>5087</v>
      </c>
      <c r="U78" s="213">
        <v>213.3</v>
      </c>
      <c r="V78" s="213">
        <f t="shared" si="18"/>
        <v>220.30559013698632</v>
      </c>
      <c r="W78" s="32">
        <f t="shared" si="19"/>
        <v>224.71170193972605</v>
      </c>
      <c r="X78" s="32">
        <f t="shared" si="20"/>
        <v>229.11781374246578</v>
      </c>
      <c r="AD78" s="115"/>
      <c r="AE78" s="115"/>
      <c r="AH78" s="20">
        <v>58</v>
      </c>
      <c r="AI78" s="117" t="s">
        <v>4290</v>
      </c>
      <c r="AJ78" s="117">
        <v>-11400000</v>
      </c>
      <c r="AK78" s="20">
        <v>13</v>
      </c>
      <c r="AL78" s="99">
        <f t="shared" ref="AL78:AL83" si="21">AL79+AK78</f>
        <v>288</v>
      </c>
      <c r="AM78" s="117">
        <f t="shared" si="11"/>
        <v>-3283200000</v>
      </c>
      <c r="AN78" s="20"/>
    </row>
    <row r="79" spans="1:40">
      <c r="D79" s="1" t="s">
        <v>306</v>
      </c>
      <c r="E79" s="1">
        <v>80000</v>
      </c>
      <c r="G79" s="47">
        <v>0</v>
      </c>
      <c r="H79" s="201" t="s">
        <v>784</v>
      </c>
      <c r="K79" t="s">
        <v>4529</v>
      </c>
      <c r="Q79" s="169">
        <v>1324444</v>
      </c>
      <c r="R79" s="19" t="s">
        <v>5085</v>
      </c>
      <c r="S79" s="197">
        <f>S78</f>
        <v>23</v>
      </c>
      <c r="T79" s="189" t="s">
        <v>5089</v>
      </c>
      <c r="U79" s="213">
        <v>821.9</v>
      </c>
      <c r="V79" s="213">
        <f t="shared" si="18"/>
        <v>848.89434849315069</v>
      </c>
      <c r="W79" s="32">
        <f t="shared" si="19"/>
        <v>865.87223546301368</v>
      </c>
      <c r="X79" s="32">
        <f t="shared" si="20"/>
        <v>882.85012243287679</v>
      </c>
      <c r="AC79" s="115"/>
      <c r="AD79" s="115"/>
      <c r="AE79" s="115"/>
      <c r="AF79"/>
      <c r="AH79" s="20">
        <v>59</v>
      </c>
      <c r="AI79" s="117" t="s">
        <v>4345</v>
      </c>
      <c r="AJ79" s="117">
        <v>-10000000</v>
      </c>
      <c r="AK79" s="20">
        <v>1</v>
      </c>
      <c r="AL79" s="99">
        <f t="shared" si="21"/>
        <v>275</v>
      </c>
      <c r="AM79" s="117">
        <f>AJ79*AL79</f>
        <v>-2750000000</v>
      </c>
      <c r="AN79" s="20"/>
    </row>
    <row r="80" spans="1:40">
      <c r="D80" s="31" t="s">
        <v>307</v>
      </c>
      <c r="E80" s="1">
        <v>150000</v>
      </c>
      <c r="G80" s="47">
        <v>0</v>
      </c>
      <c r="H80" s="201" t="s">
        <v>785</v>
      </c>
      <c r="J80" t="s">
        <v>25</v>
      </c>
      <c r="K80" t="s">
        <v>4294</v>
      </c>
      <c r="Q80" s="169">
        <v>240923</v>
      </c>
      <c r="R80" s="19" t="s">
        <v>5121</v>
      </c>
      <c r="S80" s="197">
        <f>S79-19</f>
        <v>4</v>
      </c>
      <c r="T80" s="189" t="s">
        <v>5124</v>
      </c>
      <c r="U80" s="213">
        <v>691.1</v>
      </c>
      <c r="V80" s="213">
        <f t="shared" si="18"/>
        <v>703.72535561643849</v>
      </c>
      <c r="W80" s="32">
        <f t="shared" si="19"/>
        <v>717.79986272876727</v>
      </c>
      <c r="X80" s="32">
        <f t="shared" si="20"/>
        <v>731.87436984109604</v>
      </c>
      <c r="AC80" s="115"/>
      <c r="AD80" s="115"/>
      <c r="AE80" s="115"/>
      <c r="AF80"/>
      <c r="AH80" s="20">
        <v>60</v>
      </c>
      <c r="AI80" s="117" t="s">
        <v>4346</v>
      </c>
      <c r="AJ80" s="117">
        <v>-2450000</v>
      </c>
      <c r="AK80" s="20">
        <v>5</v>
      </c>
      <c r="AL80" s="99">
        <f t="shared" si="21"/>
        <v>274</v>
      </c>
      <c r="AM80" s="117">
        <f>AJ80*AL80</f>
        <v>-671300000</v>
      </c>
      <c r="AN80" s="20"/>
    </row>
    <row r="81" spans="4:52">
      <c r="D81" s="31" t="s">
        <v>308</v>
      </c>
      <c r="E81" s="1">
        <v>300000</v>
      </c>
      <c r="G81" s="47">
        <v>500000</v>
      </c>
      <c r="H81" s="48" t="s">
        <v>786</v>
      </c>
      <c r="K81" t="s">
        <v>25</v>
      </c>
      <c r="Q81" s="169">
        <v>1408805</v>
      </c>
      <c r="R81" s="19" t="s">
        <v>5129</v>
      </c>
      <c r="S81" s="197">
        <f>S80-2</f>
        <v>2</v>
      </c>
      <c r="T81" s="189" t="s">
        <v>5131</v>
      </c>
      <c r="U81" s="213">
        <v>235.2</v>
      </c>
      <c r="V81" s="213">
        <f t="shared" si="18"/>
        <v>239.13589479452057</v>
      </c>
      <c r="W81" s="32">
        <f t="shared" si="19"/>
        <v>243.91861269041098</v>
      </c>
      <c r="X81" s="32">
        <f t="shared" si="20"/>
        <v>248.7013305863014</v>
      </c>
      <c r="AD81" s="115"/>
      <c r="AE81" s="115"/>
      <c r="AF81" s="115"/>
      <c r="AH81" s="20">
        <v>61</v>
      </c>
      <c r="AI81" s="117" t="s">
        <v>4370</v>
      </c>
      <c r="AJ81" s="117">
        <v>-456081</v>
      </c>
      <c r="AK81" s="20">
        <v>1</v>
      </c>
      <c r="AL81" s="99">
        <f t="shared" si="21"/>
        <v>269</v>
      </c>
      <c r="AM81" s="117">
        <f t="shared" si="11"/>
        <v>-122685789</v>
      </c>
      <c r="AN81" s="20"/>
    </row>
    <row r="82" spans="4:52">
      <c r="D82" s="31" t="s">
        <v>309</v>
      </c>
      <c r="E82" s="1">
        <v>100000</v>
      </c>
      <c r="G82" s="47">
        <v>75000</v>
      </c>
      <c r="H82" s="48" t="s">
        <v>787</v>
      </c>
      <c r="K82" s="96"/>
      <c r="M82" s="193" t="s">
        <v>4528</v>
      </c>
      <c r="Q82" s="169">
        <v>4507053</v>
      </c>
      <c r="R82" s="19" t="s">
        <v>5133</v>
      </c>
      <c r="S82" s="197">
        <f>S81-1</f>
        <v>1</v>
      </c>
      <c r="T82" s="189" t="s">
        <v>5134</v>
      </c>
      <c r="U82" s="213">
        <v>225</v>
      </c>
      <c r="V82" s="213">
        <f t="shared" si="18"/>
        <v>228.59260273972603</v>
      </c>
      <c r="W82" s="32">
        <f t="shared" si="19"/>
        <v>233.16445479452057</v>
      </c>
      <c r="X82" s="32">
        <f t="shared" si="20"/>
        <v>237.73630684931507</v>
      </c>
      <c r="Y82" s="96" t="s">
        <v>25</v>
      </c>
      <c r="Z82" s="115"/>
      <c r="AA82" s="115"/>
      <c r="AB82" s="115"/>
      <c r="AC82" s="115"/>
      <c r="AD82" s="115"/>
      <c r="AE82" s="115"/>
      <c r="AF82" s="115"/>
      <c r="AH82" s="20">
        <v>62</v>
      </c>
      <c r="AI82" s="117" t="s">
        <v>4372</v>
      </c>
      <c r="AJ82" s="117">
        <v>-500000</v>
      </c>
      <c r="AK82" s="20">
        <v>2</v>
      </c>
      <c r="AL82" s="99">
        <f t="shared" si="21"/>
        <v>268</v>
      </c>
      <c r="AM82" s="117">
        <f t="shared" si="11"/>
        <v>-134000000</v>
      </c>
      <c r="AN82" s="20"/>
      <c r="AO82" t="s">
        <v>25</v>
      </c>
      <c r="AU82"/>
      <c r="AW82" t="s">
        <v>25</v>
      </c>
    </row>
    <row r="83" spans="4:52">
      <c r="D83" s="31" t="s">
        <v>310</v>
      </c>
      <c r="E83" s="1">
        <v>200000</v>
      </c>
      <c r="G83" s="47">
        <v>0</v>
      </c>
      <c r="H83" s="48" t="s">
        <v>789</v>
      </c>
      <c r="K83" s="96"/>
      <c r="M83" t="s">
        <v>4529</v>
      </c>
      <c r="Q83" s="169">
        <v>1927152</v>
      </c>
      <c r="R83" s="19" t="s">
        <v>5127</v>
      </c>
      <c r="S83" s="197">
        <f>S82-1</f>
        <v>0</v>
      </c>
      <c r="T83" s="189" t="s">
        <v>5137</v>
      </c>
      <c r="U83" s="213">
        <v>232.6</v>
      </c>
      <c r="V83" s="213">
        <f t="shared" si="18"/>
        <v>236.13552000000001</v>
      </c>
      <c r="W83" s="32">
        <f t="shared" si="19"/>
        <v>240.85823040000002</v>
      </c>
      <c r="X83" s="32">
        <f t="shared" si="20"/>
        <v>245.58094080000004</v>
      </c>
      <c r="Y83" s="96" t="s">
        <v>25</v>
      </c>
      <c r="Z83" s="115"/>
      <c r="AA83" s="115"/>
      <c r="AB83" s="115"/>
      <c r="AC83" s="128"/>
      <c r="AD83" s="115"/>
      <c r="AE83" s="115"/>
      <c r="AF83" s="115"/>
      <c r="AH83" s="20">
        <v>63</v>
      </c>
      <c r="AI83" s="117" t="s">
        <v>4390</v>
      </c>
      <c r="AJ83" s="117">
        <v>-6234370</v>
      </c>
      <c r="AK83" s="20">
        <v>3</v>
      </c>
      <c r="AL83" s="99">
        <f t="shared" si="21"/>
        <v>266</v>
      </c>
      <c r="AM83" s="117">
        <f t="shared" si="11"/>
        <v>-1658342420</v>
      </c>
      <c r="AN83" s="20"/>
      <c r="AU83"/>
    </row>
    <row r="84" spans="4:52">
      <c r="D84" s="18" t="s">
        <v>311</v>
      </c>
      <c r="E84" s="18">
        <v>300000</v>
      </c>
      <c r="G84" s="47">
        <v>500000</v>
      </c>
      <c r="H84" s="48" t="s">
        <v>564</v>
      </c>
      <c r="J84">
        <v>0</v>
      </c>
      <c r="K84" s="96"/>
      <c r="M84" t="s">
        <v>4532</v>
      </c>
      <c r="Q84" s="169">
        <v>107962</v>
      </c>
      <c r="R84" s="19" t="s">
        <v>5160</v>
      </c>
      <c r="S84" s="197">
        <f>S83-13</f>
        <v>-13</v>
      </c>
      <c r="T84" s="189" t="s">
        <v>5161</v>
      </c>
      <c r="U84" s="213">
        <v>707</v>
      </c>
      <c r="V84" s="213">
        <f t="shared" si="18"/>
        <v>710.69576986301377</v>
      </c>
      <c r="W84" s="32">
        <f t="shared" si="19"/>
        <v>724.90968526027405</v>
      </c>
      <c r="X84" s="32">
        <f t="shared" si="20"/>
        <v>739.12360065753433</v>
      </c>
      <c r="Y84" s="96" t="s">
        <v>25</v>
      </c>
      <c r="Z84" s="115" t="s">
        <v>25</v>
      </c>
      <c r="AA84" s="115"/>
      <c r="AB84" s="115"/>
      <c r="AC84" s="128"/>
      <c r="AD84" s="115"/>
      <c r="AE84" s="115"/>
      <c r="AF84" s="115"/>
      <c r="AH84" s="20">
        <v>64</v>
      </c>
      <c r="AI84" s="117" t="s">
        <v>4400</v>
      </c>
      <c r="AJ84" s="117">
        <v>1950957</v>
      </c>
      <c r="AK84" s="20">
        <v>4</v>
      </c>
      <c r="AL84" s="99">
        <f t="shared" si="17"/>
        <v>263</v>
      </c>
      <c r="AM84" s="117">
        <f t="shared" si="11"/>
        <v>513101691</v>
      </c>
      <c r="AN84" s="20"/>
      <c r="AZ84" t="s">
        <v>25</v>
      </c>
    </row>
    <row r="85" spans="4:52">
      <c r="D85" s="32" t="s">
        <v>312</v>
      </c>
      <c r="E85" s="1">
        <v>200000</v>
      </c>
      <c r="G85" s="47">
        <v>50000</v>
      </c>
      <c r="H85" s="48" t="s">
        <v>792</v>
      </c>
      <c r="K85" s="96"/>
      <c r="M85" t="s">
        <v>4533</v>
      </c>
      <c r="Q85" s="169">
        <v>209998</v>
      </c>
      <c r="R85" s="19" t="s">
        <v>5168</v>
      </c>
      <c r="S85" s="197">
        <f>S84-11</f>
        <v>-24</v>
      </c>
      <c r="T85" s="189" t="s">
        <v>5191</v>
      </c>
      <c r="U85" s="213">
        <v>1850</v>
      </c>
      <c r="V85" s="213">
        <f t="shared" si="18"/>
        <v>1844.0597260273973</v>
      </c>
      <c r="W85" s="32">
        <f t="shared" si="19"/>
        <v>1880.9409205479453</v>
      </c>
      <c r="X85" s="32">
        <f t="shared" si="20"/>
        <v>1917.8221150684933</v>
      </c>
      <c r="Y85" s="96" t="s">
        <v>25</v>
      </c>
      <c r="Z85" s="115"/>
      <c r="AA85" s="115"/>
      <c r="AB85" s="115"/>
      <c r="AC85" s="128"/>
      <c r="AD85" s="115"/>
      <c r="AE85" s="115"/>
      <c r="AF85" s="115"/>
      <c r="AH85" s="20">
        <v>65</v>
      </c>
      <c r="AI85" s="117" t="s">
        <v>4425</v>
      </c>
      <c r="AJ85" s="117">
        <v>600000</v>
      </c>
      <c r="AK85" s="20">
        <v>5</v>
      </c>
      <c r="AL85" s="99">
        <f t="shared" si="17"/>
        <v>259</v>
      </c>
      <c r="AM85" s="117">
        <f t="shared" si="11"/>
        <v>155400000</v>
      </c>
      <c r="AN85" s="20"/>
    </row>
    <row r="86" spans="4:52">
      <c r="D86" s="32" t="s">
        <v>313</v>
      </c>
      <c r="E86" s="1">
        <v>20000</v>
      </c>
      <c r="G86" s="47">
        <v>140000</v>
      </c>
      <c r="H86" s="48" t="s">
        <v>314</v>
      </c>
      <c r="K86" s="96"/>
      <c r="L86" s="96"/>
      <c r="M86" s="96"/>
      <c r="N86" s="96"/>
      <c r="Q86" s="169"/>
      <c r="R86" s="168"/>
      <c r="S86" s="113"/>
      <c r="T86" s="113"/>
      <c r="U86" s="168"/>
      <c r="V86" s="168">
        <f t="shared" si="18"/>
        <v>0</v>
      </c>
      <c r="W86" s="32">
        <f t="shared" si="19"/>
        <v>0</v>
      </c>
      <c r="X86" s="32">
        <f t="shared" si="20"/>
        <v>0</v>
      </c>
      <c r="Y86" s="96"/>
      <c r="Z86" s="115"/>
      <c r="AA86" s="115"/>
      <c r="AB86" s="115"/>
      <c r="AC86" s="128"/>
      <c r="AD86" s="115"/>
      <c r="AE86" s="115"/>
      <c r="AF86" s="115"/>
      <c r="AH86" s="20">
        <v>66</v>
      </c>
      <c r="AI86" s="117" t="s">
        <v>4433</v>
      </c>
      <c r="AJ86" s="117">
        <v>7500000</v>
      </c>
      <c r="AK86" s="20">
        <v>2</v>
      </c>
      <c r="AL86" s="99">
        <f t="shared" si="17"/>
        <v>254</v>
      </c>
      <c r="AM86" s="117">
        <f t="shared" si="11"/>
        <v>1905000000</v>
      </c>
      <c r="AN86" s="20"/>
      <c r="AS86" s="96"/>
    </row>
    <row r="87" spans="4:52">
      <c r="D87" s="32" t="s">
        <v>315</v>
      </c>
      <c r="E87" s="1">
        <v>50000</v>
      </c>
      <c r="G87" s="47"/>
      <c r="H87" s="48" t="s">
        <v>25</v>
      </c>
      <c r="J87">
        <v>0</v>
      </c>
      <c r="K87" s="96"/>
      <c r="L87" s="96"/>
      <c r="M87" s="96"/>
      <c r="N87" s="96"/>
      <c r="Q87" s="113">
        <f>SUM(N27:N29)-SUM(Q65:Q86)</f>
        <v>15986380.299999997</v>
      </c>
      <c r="R87" s="168"/>
      <c r="S87" s="168"/>
      <c r="T87" s="168"/>
      <c r="U87" s="168"/>
      <c r="V87" s="168"/>
      <c r="W87" s="32"/>
      <c r="X87" s="32"/>
      <c r="Y87" s="96"/>
      <c r="Z87" s="115"/>
      <c r="AA87" s="115"/>
      <c r="AB87" s="115"/>
      <c r="AC87" s="128"/>
      <c r="AD87" s="115"/>
      <c r="AE87" s="115"/>
      <c r="AF87" s="115"/>
      <c r="AH87" s="20">
        <v>67</v>
      </c>
      <c r="AI87" s="117" t="s">
        <v>4438</v>
      </c>
      <c r="AJ87" s="117">
        <v>-587816</v>
      </c>
      <c r="AK87" s="20">
        <v>3</v>
      </c>
      <c r="AL87" s="99">
        <f t="shared" si="17"/>
        <v>252</v>
      </c>
      <c r="AM87" s="117">
        <f t="shared" si="11"/>
        <v>-148129632</v>
      </c>
      <c r="AN87" s="20"/>
      <c r="AS87" s="96"/>
    </row>
    <row r="88" spans="4:52">
      <c r="D88" s="32" t="s">
        <v>316</v>
      </c>
      <c r="E88" s="1">
        <v>90000</v>
      </c>
      <c r="G88" s="47">
        <f>SUM(G76:G87)</f>
        <v>2645000</v>
      </c>
      <c r="H88" s="48" t="s">
        <v>6</v>
      </c>
      <c r="K88" s="96"/>
      <c r="R88" s="115"/>
      <c r="S88" s="115"/>
      <c r="T88" s="115" t="s">
        <v>25</v>
      </c>
      <c r="U88" s="115"/>
      <c r="V88" s="115" t="s">
        <v>25</v>
      </c>
      <c r="W88" s="194" t="s">
        <v>25</v>
      </c>
      <c r="X88" s="194"/>
      <c r="Z88" s="115"/>
      <c r="AA88" s="115"/>
      <c r="AB88" s="115"/>
      <c r="AC88" s="128"/>
      <c r="AD88" s="115"/>
      <c r="AE88" s="115"/>
      <c r="AF88" s="115"/>
      <c r="AH88" s="20">
        <v>68</v>
      </c>
      <c r="AI88" s="117" t="s">
        <v>4437</v>
      </c>
      <c r="AJ88" s="117">
        <v>-907489</v>
      </c>
      <c r="AK88" s="20">
        <v>0</v>
      </c>
      <c r="AL88" s="99">
        <f>AL89+AK88</f>
        <v>249</v>
      </c>
      <c r="AM88" s="117">
        <f t="shared" si="11"/>
        <v>-225964761</v>
      </c>
      <c r="AN88" s="20"/>
      <c r="AP88" t="s">
        <v>25</v>
      </c>
      <c r="AV88" t="s">
        <v>25</v>
      </c>
    </row>
    <row r="89" spans="4:52">
      <c r="D89" s="32" t="s">
        <v>317</v>
      </c>
      <c r="E89" s="1">
        <v>50000</v>
      </c>
      <c r="K89" s="96"/>
      <c r="Q89" s="99" t="s">
        <v>948</v>
      </c>
      <c r="R89" s="99">
        <v>1.03E-2</v>
      </c>
      <c r="S89" s="26" t="s">
        <v>25</v>
      </c>
      <c r="T89" t="s">
        <v>25</v>
      </c>
      <c r="U89" s="96" t="s">
        <v>25</v>
      </c>
      <c r="V89" s="115" t="s">
        <v>25</v>
      </c>
      <c r="W89" s="194" t="s">
        <v>25</v>
      </c>
      <c r="X89" s="194"/>
      <c r="Z89" s="115"/>
      <c r="AA89" s="115"/>
      <c r="AB89" s="115"/>
      <c r="AC89" s="115"/>
      <c r="AD89" s="115"/>
      <c r="AE89" s="115"/>
      <c r="AF89" s="115"/>
      <c r="AG89" s="115"/>
      <c r="AH89" s="20">
        <v>69</v>
      </c>
      <c r="AI89" s="117" t="s">
        <v>4437</v>
      </c>
      <c r="AJ89" s="117">
        <v>2450000</v>
      </c>
      <c r="AK89" s="20">
        <v>1</v>
      </c>
      <c r="AL89" s="99">
        <f t="shared" si="17"/>
        <v>249</v>
      </c>
      <c r="AM89" s="117">
        <f t="shared" si="11"/>
        <v>610050000</v>
      </c>
      <c r="AN89" s="20" t="s">
        <v>4476</v>
      </c>
      <c r="AQ89" t="s">
        <v>25</v>
      </c>
      <c r="AR89" t="s">
        <v>25</v>
      </c>
    </row>
    <row r="90" spans="4:52">
      <c r="D90" s="32" t="s">
        <v>327</v>
      </c>
      <c r="E90" s="1">
        <v>150000</v>
      </c>
      <c r="J90">
        <v>395</v>
      </c>
      <c r="K90" s="96"/>
      <c r="P90" s="115"/>
      <c r="Q90" s="99" t="s">
        <v>61</v>
      </c>
      <c r="R90" s="99">
        <v>4.8999999999999998E-3</v>
      </c>
      <c r="T90" t="s">
        <v>25</v>
      </c>
      <c r="V90" t="s">
        <v>25</v>
      </c>
      <c r="W90" s="194" t="s">
        <v>25</v>
      </c>
      <c r="X90" s="194"/>
      <c r="Z90" s="115"/>
      <c r="AA90" s="115"/>
      <c r="AB90" s="115"/>
      <c r="AC90" s="115"/>
      <c r="AD90" s="115"/>
      <c r="AE90"/>
      <c r="AG90" s="115"/>
      <c r="AH90" s="20">
        <v>70</v>
      </c>
      <c r="AI90" s="117" t="s">
        <v>4478</v>
      </c>
      <c r="AJ90" s="117">
        <v>1500000</v>
      </c>
      <c r="AK90" s="20">
        <v>1</v>
      </c>
      <c r="AL90" s="99">
        <f t="shared" si="17"/>
        <v>248</v>
      </c>
      <c r="AM90" s="117">
        <f t="shared" si="11"/>
        <v>372000000</v>
      </c>
      <c r="AN90" s="20"/>
      <c r="AP90" t="s">
        <v>25</v>
      </c>
      <c r="AU90" s="96" t="s">
        <v>25</v>
      </c>
    </row>
    <row r="91" spans="4:52">
      <c r="D91" s="32" t="s">
        <v>318</v>
      </c>
      <c r="E91" s="1">
        <v>15000</v>
      </c>
      <c r="F91" s="96"/>
      <c r="G91" s="96"/>
      <c r="H91" s="96"/>
      <c r="I91" s="96"/>
      <c r="J91" s="96"/>
      <c r="K91" s="96"/>
      <c r="P91" s="128"/>
      <c r="Q91" s="99" t="s">
        <v>6</v>
      </c>
      <c r="R91" s="99">
        <f>R89+R90</f>
        <v>1.52E-2</v>
      </c>
      <c r="T91" t="s">
        <v>25</v>
      </c>
      <c r="U91" s="96" t="s">
        <v>25</v>
      </c>
      <c r="V91" t="s">
        <v>25</v>
      </c>
      <c r="W91" s="194"/>
      <c r="X91" s="194"/>
      <c r="Z91" s="115"/>
      <c r="AA91" s="115"/>
      <c r="AE91"/>
      <c r="AG91" s="96"/>
      <c r="AH91" s="20">
        <v>71</v>
      </c>
      <c r="AI91" s="117" t="s">
        <v>4484</v>
      </c>
      <c r="AJ91" s="117">
        <v>2648000</v>
      </c>
      <c r="AK91" s="20">
        <v>1</v>
      </c>
      <c r="AL91" s="99">
        <f t="shared" si="17"/>
        <v>247</v>
      </c>
      <c r="AM91" s="117">
        <f t="shared" si="11"/>
        <v>654056000</v>
      </c>
      <c r="AN91" s="20" t="s">
        <v>4485</v>
      </c>
      <c r="AU91" s="96" t="s">
        <v>25</v>
      </c>
    </row>
    <row r="92" spans="4:52">
      <c r="D92" s="32" t="s">
        <v>319</v>
      </c>
      <c r="E92" s="1">
        <v>20000</v>
      </c>
      <c r="F92" s="96"/>
      <c r="G92" s="96"/>
      <c r="H92" s="96"/>
      <c r="I92" s="96"/>
      <c r="J92" s="96"/>
      <c r="K92" s="96" t="s">
        <v>25</v>
      </c>
      <c r="P92" s="128"/>
      <c r="W92" s="194"/>
      <c r="X92" s="194"/>
      <c r="Z92" s="115"/>
      <c r="AA92" s="115"/>
      <c r="AE92"/>
      <c r="AG92" s="96"/>
      <c r="AH92" s="20">
        <v>72</v>
      </c>
      <c r="AI92" s="117" t="s">
        <v>4230</v>
      </c>
      <c r="AJ92" s="117">
        <v>615000</v>
      </c>
      <c r="AK92" s="20">
        <v>4</v>
      </c>
      <c r="AL92" s="99">
        <f t="shared" si="17"/>
        <v>246</v>
      </c>
      <c r="AM92" s="117">
        <f t="shared" si="11"/>
        <v>151290000</v>
      </c>
      <c r="AN92" s="20"/>
      <c r="AV92" t="s">
        <v>25</v>
      </c>
    </row>
    <row r="93" spans="4:52" ht="30">
      <c r="D93" s="32" t="s">
        <v>320</v>
      </c>
      <c r="E93" s="1">
        <v>40000</v>
      </c>
      <c r="F93" s="96"/>
      <c r="G93" s="96"/>
      <c r="H93" s="96"/>
      <c r="I93" s="96"/>
      <c r="J93" s="96"/>
      <c r="K93" s="96"/>
      <c r="L93" s="96"/>
      <c r="M93" s="96"/>
      <c r="N93" s="96"/>
      <c r="P93" s="115"/>
      <c r="Q93" s="73" t="s">
        <v>4293</v>
      </c>
      <c r="R93" s="112"/>
      <c r="S93" s="112"/>
      <c r="T93" s="112"/>
      <c r="U93" s="168" t="s">
        <v>4361</v>
      </c>
      <c r="V93" s="36" t="s">
        <v>4363</v>
      </c>
      <c r="W93" s="32"/>
      <c r="X93" s="32"/>
      <c r="Z93" s="115"/>
      <c r="AA93" s="115"/>
      <c r="AE93"/>
      <c r="AG93" s="96"/>
      <c r="AH93" s="20">
        <v>73</v>
      </c>
      <c r="AI93" s="117" t="s">
        <v>4495</v>
      </c>
      <c r="AJ93" s="117">
        <v>14000000</v>
      </c>
      <c r="AK93" s="20">
        <v>2</v>
      </c>
      <c r="AL93" s="99">
        <f>AL94+AK93</f>
        <v>242</v>
      </c>
      <c r="AM93" s="117">
        <f t="shared" si="11"/>
        <v>3388000000</v>
      </c>
      <c r="AN93" s="20"/>
    </row>
    <row r="94" spans="4:52">
      <c r="D94" s="32" t="s">
        <v>322</v>
      </c>
      <c r="E94" s="1">
        <v>150000</v>
      </c>
      <c r="F94" s="96"/>
      <c r="G94" s="96"/>
      <c r="H94" s="96"/>
      <c r="I94" s="96"/>
      <c r="J94" s="96"/>
      <c r="K94" s="96"/>
      <c r="L94" s="96"/>
      <c r="M94" s="96"/>
      <c r="N94" s="96"/>
      <c r="Q94" s="112" t="s">
        <v>267</v>
      </c>
      <c r="R94" s="112" t="s">
        <v>180</v>
      </c>
      <c r="S94" s="112" t="s">
        <v>183</v>
      </c>
      <c r="T94" s="112" t="s">
        <v>8</v>
      </c>
      <c r="U94" s="168"/>
      <c r="V94" s="99"/>
      <c r="W94" s="32">
        <v>2</v>
      </c>
      <c r="X94" s="32">
        <v>4</v>
      </c>
      <c r="Y94">
        <v>961521</v>
      </c>
      <c r="AH94" s="20">
        <v>74</v>
      </c>
      <c r="AI94" s="117" t="s">
        <v>4499</v>
      </c>
      <c r="AJ94" s="117">
        <v>1313000</v>
      </c>
      <c r="AK94" s="20">
        <v>0</v>
      </c>
      <c r="AL94" s="99">
        <f>AL95+AK94</f>
        <v>240</v>
      </c>
      <c r="AM94" s="117">
        <f t="shared" si="11"/>
        <v>315120000</v>
      </c>
      <c r="AN94" s="20"/>
      <c r="AQ94" t="s">
        <v>25</v>
      </c>
    </row>
    <row r="95" spans="4:52">
      <c r="D95" s="32" t="s">
        <v>324</v>
      </c>
      <c r="E95" s="1">
        <v>75000</v>
      </c>
      <c r="F95" s="96"/>
      <c r="G95" s="96"/>
      <c r="H95" s="96"/>
      <c r="I95" s="96"/>
      <c r="J95" s="96"/>
      <c r="K95" s="96"/>
      <c r="L95" s="96"/>
      <c r="M95" s="96"/>
      <c r="N95" s="96"/>
      <c r="Q95" s="35">
        <v>184971545</v>
      </c>
      <c r="R95" s="5" t="s">
        <v>4171</v>
      </c>
      <c r="S95" s="5">
        <v>298</v>
      </c>
      <c r="T95" s="5" t="s">
        <v>4344</v>
      </c>
      <c r="U95" s="168">
        <v>192</v>
      </c>
      <c r="V95" s="99">
        <f t="shared" ref="V95:V126" si="22">U95*(1+$R$91+$Q$15*S95/36500)</f>
        <v>238.8101260273973</v>
      </c>
      <c r="W95" s="32">
        <f t="shared" ref="W95:W112" si="23">V95*(1+$W$19/100)</f>
        <v>243.58632854794524</v>
      </c>
      <c r="X95" s="32">
        <f t="shared" ref="X95:X112" si="24">V95*(1+$X$19/100)</f>
        <v>248.36253106849321</v>
      </c>
      <c r="Y95">
        <v>44349</v>
      </c>
      <c r="AH95" s="99">
        <v>75</v>
      </c>
      <c r="AI95" s="113" t="s">
        <v>4499</v>
      </c>
      <c r="AJ95" s="113">
        <v>2269000</v>
      </c>
      <c r="AK95" s="99">
        <v>1</v>
      </c>
      <c r="AL95" s="99">
        <f t="shared" ref="AL95:AL120" si="25">AL96+AK95</f>
        <v>240</v>
      </c>
      <c r="AM95" s="117">
        <f t="shared" si="11"/>
        <v>544560000</v>
      </c>
      <c r="AN95" s="99"/>
    </row>
    <row r="96" spans="4:52">
      <c r="D96" s="32" t="s">
        <v>314</v>
      </c>
      <c r="E96" s="1">
        <v>140000</v>
      </c>
      <c r="F96" s="96"/>
      <c r="G96" s="96"/>
      <c r="H96" s="96"/>
      <c r="I96" s="96"/>
      <c r="J96" s="96" t="s">
        <v>25</v>
      </c>
      <c r="K96" t="s">
        <v>25</v>
      </c>
      <c r="L96" s="96"/>
      <c r="M96" s="96"/>
      <c r="N96" s="96"/>
      <c r="Q96" s="35">
        <v>9560464</v>
      </c>
      <c r="R96" s="5" t="s">
        <v>4297</v>
      </c>
      <c r="S96" s="5">
        <f>S95-31</f>
        <v>267</v>
      </c>
      <c r="T96" s="5" t="s">
        <v>4310</v>
      </c>
      <c r="U96" s="168">
        <v>214.57</v>
      </c>
      <c r="V96" s="99">
        <f t="shared" si="22"/>
        <v>261.78010290410958</v>
      </c>
      <c r="W96" s="32">
        <f t="shared" si="23"/>
        <v>267.01570496219176</v>
      </c>
      <c r="X96" s="32">
        <f t="shared" si="24"/>
        <v>272.251307020274</v>
      </c>
      <c r="Y96">
        <v>9625</v>
      </c>
      <c r="AH96" s="99">
        <v>76</v>
      </c>
      <c r="AI96" s="113" t="s">
        <v>4231</v>
      </c>
      <c r="AJ96" s="113">
        <v>750000</v>
      </c>
      <c r="AK96" s="99">
        <v>4</v>
      </c>
      <c r="AL96" s="99">
        <f t="shared" si="25"/>
        <v>239</v>
      </c>
      <c r="AM96" s="117">
        <f t="shared" si="11"/>
        <v>179250000</v>
      </c>
      <c r="AN96" s="99"/>
      <c r="AQ96" t="s">
        <v>25</v>
      </c>
    </row>
    <row r="97" spans="4:47">
      <c r="D97" s="2" t="s">
        <v>478</v>
      </c>
      <c r="E97" s="3">
        <v>1083333</v>
      </c>
      <c r="J97" t="s">
        <v>25</v>
      </c>
      <c r="Q97" s="35">
        <v>2000000</v>
      </c>
      <c r="R97" s="5" t="s">
        <v>4340</v>
      </c>
      <c r="S97" s="5">
        <f>S96-11</f>
        <v>256</v>
      </c>
      <c r="T97" s="5" t="s">
        <v>4343</v>
      </c>
      <c r="U97" s="168">
        <v>206.8</v>
      </c>
      <c r="V97" s="99">
        <f t="shared" si="22"/>
        <v>250.55548054794525</v>
      </c>
      <c r="W97" s="32">
        <f t="shared" si="23"/>
        <v>255.56659015890415</v>
      </c>
      <c r="X97" s="32">
        <f t="shared" si="24"/>
        <v>260.57769976986305</v>
      </c>
      <c r="Y97">
        <v>6980</v>
      </c>
      <c r="AH97" s="99">
        <v>77</v>
      </c>
      <c r="AI97" s="113" t="s">
        <v>4506</v>
      </c>
      <c r="AJ97" s="113">
        <v>1900000</v>
      </c>
      <c r="AK97" s="99">
        <v>3</v>
      </c>
      <c r="AL97" s="99">
        <f t="shared" si="25"/>
        <v>235</v>
      </c>
      <c r="AM97" s="117">
        <f t="shared" si="11"/>
        <v>446500000</v>
      </c>
      <c r="AN97" s="99"/>
    </row>
    <row r="98" spans="4:47">
      <c r="D98" s="2"/>
      <c r="E98" s="3"/>
      <c r="Q98" s="35">
        <v>1429825</v>
      </c>
      <c r="R98" s="5" t="s">
        <v>4370</v>
      </c>
      <c r="S98" s="5">
        <f>S97-7</f>
        <v>249</v>
      </c>
      <c r="T98" s="5" t="s">
        <v>4379</v>
      </c>
      <c r="U98" s="168">
        <v>203.9</v>
      </c>
      <c r="V98" s="99">
        <f t="shared" si="22"/>
        <v>245.94697315068495</v>
      </c>
      <c r="W98" s="32">
        <f t="shared" si="23"/>
        <v>250.86591261369867</v>
      </c>
      <c r="X98" s="32">
        <f t="shared" si="24"/>
        <v>255.78485207671235</v>
      </c>
      <c r="Y98">
        <v>6963</v>
      </c>
      <c r="AH98" s="99">
        <v>78</v>
      </c>
      <c r="AI98" s="113" t="s">
        <v>4519</v>
      </c>
      <c r="AJ98" s="113">
        <v>6400000</v>
      </c>
      <c r="AK98" s="99">
        <v>1</v>
      </c>
      <c r="AL98" s="99">
        <f t="shared" si="25"/>
        <v>232</v>
      </c>
      <c r="AM98" s="117">
        <f t="shared" si="11"/>
        <v>1484800000</v>
      </c>
      <c r="AN98" s="99"/>
      <c r="AT98" s="96" t="s">
        <v>25</v>
      </c>
    </row>
    <row r="99" spans="4:47">
      <c r="D99" s="2"/>
      <c r="E99" s="3"/>
      <c r="F99" s="213" t="s">
        <v>4684</v>
      </c>
      <c r="G99" s="213" t="s">
        <v>940</v>
      </c>
      <c r="H99" s="213" t="s">
        <v>4672</v>
      </c>
      <c r="I99" s="213" t="s">
        <v>4671</v>
      </c>
      <c r="J99" s="32" t="s">
        <v>4534</v>
      </c>
      <c r="K99" s="213" t="s">
        <v>4664</v>
      </c>
      <c r="L99" s="32" t="s">
        <v>4666</v>
      </c>
      <c r="M99" s="32" t="s">
        <v>4640</v>
      </c>
      <c r="N99" s="213" t="s">
        <v>4641</v>
      </c>
      <c r="Q99" s="35">
        <v>1420747</v>
      </c>
      <c r="R99" s="5" t="s">
        <v>4370</v>
      </c>
      <c r="S99" s="5">
        <f>S98</f>
        <v>249</v>
      </c>
      <c r="T99" s="5" t="s">
        <v>4381</v>
      </c>
      <c r="U99" s="168">
        <v>203.1</v>
      </c>
      <c r="V99" s="99">
        <f t="shared" si="22"/>
        <v>244.98200219178082</v>
      </c>
      <c r="W99" s="32">
        <f t="shared" si="23"/>
        <v>249.88164223561645</v>
      </c>
      <c r="X99" s="32">
        <f t="shared" si="24"/>
        <v>254.78128227945206</v>
      </c>
      <c r="Y99" s="96">
        <v>0</v>
      </c>
      <c r="AH99" s="99">
        <v>79</v>
      </c>
      <c r="AI99" s="113" t="s">
        <v>4517</v>
      </c>
      <c r="AJ99" s="113">
        <v>5000</v>
      </c>
      <c r="AK99" s="99">
        <v>5</v>
      </c>
      <c r="AL99" s="99">
        <f t="shared" si="25"/>
        <v>231</v>
      </c>
      <c r="AM99" s="117">
        <f t="shared" si="11"/>
        <v>1155000</v>
      </c>
      <c r="AN99" s="99"/>
      <c r="AP99" t="s">
        <v>25</v>
      </c>
    </row>
    <row r="100" spans="4:47">
      <c r="D100" s="2" t="s">
        <v>6</v>
      </c>
      <c r="E100" s="3">
        <f>SUM(E77:E98)</f>
        <v>3383333</v>
      </c>
      <c r="F100" s="199">
        <f>$L$108/G100</f>
        <v>17173.377156943301</v>
      </c>
      <c r="G100" s="199">
        <f>P46</f>
        <v>243.4</v>
      </c>
      <c r="H100" s="199" t="s">
        <v>4782</v>
      </c>
      <c r="I100" s="199" t="s">
        <v>4781</v>
      </c>
      <c r="J100" s="214" t="s">
        <v>4241</v>
      </c>
      <c r="K100" s="199">
        <v>175</v>
      </c>
      <c r="L100" s="215">
        <f t="shared" ref="L100:L105" si="26">K100*$L$108</f>
        <v>731500000</v>
      </c>
      <c r="M100" s="215">
        <f>N21+N29+N46</f>
        <v>1227385878</v>
      </c>
      <c r="N100" s="183">
        <f t="shared" ref="N100:N104" si="27">L100-M100</f>
        <v>-495885878</v>
      </c>
      <c r="Q100" s="35">
        <v>2010885</v>
      </c>
      <c r="R100" s="5" t="s">
        <v>4390</v>
      </c>
      <c r="S100" s="5">
        <f>S99-3</f>
        <v>246</v>
      </c>
      <c r="T100" s="5" t="s">
        <v>4395</v>
      </c>
      <c r="U100" s="168">
        <v>202.1</v>
      </c>
      <c r="V100" s="99">
        <f t="shared" si="22"/>
        <v>243.31068164383564</v>
      </c>
      <c r="W100" s="32">
        <f t="shared" si="23"/>
        <v>248.17689527671234</v>
      </c>
      <c r="X100" s="32">
        <f t="shared" si="24"/>
        <v>253.04310890958908</v>
      </c>
      <c r="Y100" s="96">
        <v>9904</v>
      </c>
      <c r="AH100" s="99">
        <v>80</v>
      </c>
      <c r="AI100" s="113" t="s">
        <v>4549</v>
      </c>
      <c r="AJ100" s="113">
        <v>-1750148</v>
      </c>
      <c r="AK100" s="99">
        <v>1</v>
      </c>
      <c r="AL100" s="99">
        <f t="shared" si="25"/>
        <v>226</v>
      </c>
      <c r="AM100" s="117">
        <f t="shared" si="11"/>
        <v>-395533448</v>
      </c>
      <c r="AN100" s="99"/>
    </row>
    <row r="101" spans="4:47">
      <c r="D101" s="2" t="s">
        <v>328</v>
      </c>
      <c r="E101" s="3">
        <f>E100/30</f>
        <v>112777.76666666666</v>
      </c>
      <c r="F101" s="213">
        <v>0</v>
      </c>
      <c r="G101" s="213">
        <v>0</v>
      </c>
      <c r="H101" s="213" t="s">
        <v>4960</v>
      </c>
      <c r="I101" s="213" t="s">
        <v>4961</v>
      </c>
      <c r="J101" s="32" t="s">
        <v>4392</v>
      </c>
      <c r="K101" s="213">
        <v>0</v>
      </c>
      <c r="L101" s="1">
        <f t="shared" si="26"/>
        <v>0</v>
      </c>
      <c r="M101" s="1">
        <f>0</f>
        <v>0</v>
      </c>
      <c r="N101" s="113">
        <f t="shared" si="27"/>
        <v>0</v>
      </c>
      <c r="Q101" s="35">
        <v>444</v>
      </c>
      <c r="R101" s="5" t="s">
        <v>4400</v>
      </c>
      <c r="S101" s="5">
        <f>S100-3</f>
        <v>243</v>
      </c>
      <c r="T101" s="5" t="s">
        <v>4602</v>
      </c>
      <c r="U101" s="168">
        <v>441.8</v>
      </c>
      <c r="V101" s="99">
        <f t="shared" si="22"/>
        <v>530.87172164383571</v>
      </c>
      <c r="W101" s="32">
        <f t="shared" si="23"/>
        <v>541.48915607671245</v>
      </c>
      <c r="X101" s="32">
        <f t="shared" si="24"/>
        <v>552.10659050958918</v>
      </c>
      <c r="Y101" s="96">
        <v>0</v>
      </c>
      <c r="AH101" s="99">
        <v>81</v>
      </c>
      <c r="AI101" s="113" t="s">
        <v>4552</v>
      </c>
      <c r="AJ101" s="113">
        <v>400000</v>
      </c>
      <c r="AK101" s="99">
        <v>0</v>
      </c>
      <c r="AL101" s="99">
        <f t="shared" si="25"/>
        <v>225</v>
      </c>
      <c r="AM101" s="117">
        <f t="shared" si="11"/>
        <v>90000000</v>
      </c>
      <c r="AN101" s="99"/>
    </row>
    <row r="102" spans="4:47">
      <c r="F102" s="199">
        <v>0</v>
      </c>
      <c r="G102" s="199">
        <v>0</v>
      </c>
      <c r="H102" s="199" t="s">
        <v>5128</v>
      </c>
      <c r="I102" s="199" t="s">
        <v>5127</v>
      </c>
      <c r="J102" s="214" t="s">
        <v>4388</v>
      </c>
      <c r="K102" s="199">
        <v>0</v>
      </c>
      <c r="L102" s="215">
        <f t="shared" si="26"/>
        <v>0</v>
      </c>
      <c r="M102" s="215">
        <f>0</f>
        <v>0</v>
      </c>
      <c r="N102" s="183">
        <f t="shared" si="27"/>
        <v>0</v>
      </c>
      <c r="Q102" s="35">
        <v>1971103</v>
      </c>
      <c r="R102" s="5" t="s">
        <v>4411</v>
      </c>
      <c r="S102" s="5">
        <f>S101-1</f>
        <v>242</v>
      </c>
      <c r="T102" s="5" t="s">
        <v>4412</v>
      </c>
      <c r="U102" s="168">
        <v>196.2</v>
      </c>
      <c r="V102" s="99">
        <f t="shared" si="22"/>
        <v>235.6055605479452</v>
      </c>
      <c r="W102" s="32">
        <f t="shared" si="23"/>
        <v>240.31767175890411</v>
      </c>
      <c r="X102" s="32">
        <f t="shared" si="24"/>
        <v>245.02978296986302</v>
      </c>
      <c r="Y102" s="96">
        <v>0</v>
      </c>
      <c r="AH102" s="99">
        <v>82</v>
      </c>
      <c r="AI102" s="113" t="s">
        <v>4552</v>
      </c>
      <c r="AJ102" s="113">
        <v>-2105421</v>
      </c>
      <c r="AK102" s="99">
        <v>1</v>
      </c>
      <c r="AL102" s="99">
        <f t="shared" si="25"/>
        <v>225</v>
      </c>
      <c r="AM102" s="117">
        <f t="shared" si="11"/>
        <v>-473719725</v>
      </c>
      <c r="AN102" s="99"/>
      <c r="AO102" t="s">
        <v>25</v>
      </c>
    </row>
    <row r="103" spans="4:47">
      <c r="F103" s="213">
        <f>$L$108/G103</f>
        <v>5862.5525946704065</v>
      </c>
      <c r="G103" s="213">
        <f>P44</f>
        <v>713</v>
      </c>
      <c r="H103" s="213" t="s">
        <v>4674</v>
      </c>
      <c r="I103" s="213" t="s">
        <v>4673</v>
      </c>
      <c r="J103" s="32" t="s">
        <v>4406</v>
      </c>
      <c r="K103" s="213">
        <v>43</v>
      </c>
      <c r="L103" s="1">
        <f t="shared" si="26"/>
        <v>179740000</v>
      </c>
      <c r="M103" s="1">
        <f>N44+N24</f>
        <v>181913394</v>
      </c>
      <c r="N103" s="113">
        <f t="shared" si="27"/>
        <v>-2173394</v>
      </c>
      <c r="Q103" s="35">
        <v>1049856</v>
      </c>
      <c r="R103" s="5" t="s">
        <v>4431</v>
      </c>
      <c r="S103" s="5">
        <f>S102-6</f>
        <v>236</v>
      </c>
      <c r="T103" s="5" t="s">
        <v>4470</v>
      </c>
      <c r="U103" s="168">
        <v>184.5</v>
      </c>
      <c r="V103" s="99">
        <f t="shared" si="22"/>
        <v>220.70648219178085</v>
      </c>
      <c r="W103" s="32">
        <f t="shared" si="23"/>
        <v>225.12061183561647</v>
      </c>
      <c r="X103" s="32">
        <f t="shared" si="24"/>
        <v>229.53474147945209</v>
      </c>
      <c r="Y103" s="96">
        <v>10000</v>
      </c>
      <c r="AH103" s="99">
        <v>83</v>
      </c>
      <c r="AI103" s="113" t="s">
        <v>4555</v>
      </c>
      <c r="AJ103" s="113">
        <v>-5527618</v>
      </c>
      <c r="AK103" s="99">
        <v>0</v>
      </c>
      <c r="AL103" s="99">
        <f t="shared" si="25"/>
        <v>224</v>
      </c>
      <c r="AM103" s="117">
        <f t="shared" si="11"/>
        <v>-1238186432</v>
      </c>
      <c r="AN103" s="99"/>
    </row>
    <row r="104" spans="4:47">
      <c r="F104" s="199"/>
      <c r="G104" s="199"/>
      <c r="H104" s="199"/>
      <c r="I104" s="199"/>
      <c r="J104" s="214" t="s">
        <v>4650</v>
      </c>
      <c r="K104" s="199">
        <v>1</v>
      </c>
      <c r="L104" s="215">
        <f t="shared" si="26"/>
        <v>4180000</v>
      </c>
      <c r="M104" s="215">
        <f>N42</f>
        <v>74975</v>
      </c>
      <c r="N104" s="183">
        <f t="shared" si="27"/>
        <v>4105025</v>
      </c>
      <c r="Q104" s="35">
        <v>1783234</v>
      </c>
      <c r="R104" s="5" t="s">
        <v>4433</v>
      </c>
      <c r="S104" s="5">
        <f>S103-2</f>
        <v>234</v>
      </c>
      <c r="T104" s="5" t="s">
        <v>4434</v>
      </c>
      <c r="U104" s="168">
        <v>177.5</v>
      </c>
      <c r="V104" s="99">
        <f t="shared" si="22"/>
        <v>212.06046575342467</v>
      </c>
      <c r="W104" s="32">
        <f t="shared" si="23"/>
        <v>216.30167506849315</v>
      </c>
      <c r="X104" s="32">
        <f t="shared" si="24"/>
        <v>220.54288438356167</v>
      </c>
      <c r="Y104" s="96">
        <v>5664</v>
      </c>
      <c r="AH104" s="99">
        <v>84</v>
      </c>
      <c r="AI104" s="113" t="s">
        <v>4555</v>
      </c>
      <c r="AJ104" s="113">
        <v>3900000</v>
      </c>
      <c r="AK104" s="99">
        <v>3</v>
      </c>
      <c r="AL104" s="99">
        <f t="shared" si="25"/>
        <v>224</v>
      </c>
      <c r="AM104" s="117">
        <f t="shared" si="11"/>
        <v>873600000</v>
      </c>
      <c r="AN104" s="99"/>
    </row>
    <row r="105" spans="4:47">
      <c r="F105" s="191"/>
      <c r="G105" s="191"/>
      <c r="H105" s="191"/>
      <c r="I105" s="191"/>
      <c r="J105" s="258" t="s">
        <v>5198</v>
      </c>
      <c r="K105" s="191">
        <v>111</v>
      </c>
      <c r="L105" s="259">
        <f t="shared" si="26"/>
        <v>463980000</v>
      </c>
      <c r="M105" s="259">
        <v>0</v>
      </c>
      <c r="N105" s="86">
        <f>L105-M105</f>
        <v>463980000</v>
      </c>
      <c r="Q105" s="35">
        <v>1662335</v>
      </c>
      <c r="R105" s="5" t="s">
        <v>4437</v>
      </c>
      <c r="S105" s="5">
        <f>S104-5</f>
        <v>229</v>
      </c>
      <c r="T105" s="218" t="s">
        <v>4585</v>
      </c>
      <c r="U105" s="168">
        <v>190.3</v>
      </c>
      <c r="V105" s="99">
        <f t="shared" si="22"/>
        <v>226.62279561643837</v>
      </c>
      <c r="W105" s="32">
        <f t="shared" si="23"/>
        <v>231.15525152876714</v>
      </c>
      <c r="X105" s="32">
        <f t="shared" si="24"/>
        <v>235.68770744109591</v>
      </c>
      <c r="Y105" s="96">
        <v>10000</v>
      </c>
      <c r="AH105" s="99">
        <v>85</v>
      </c>
      <c r="AI105" s="113" t="s">
        <v>4556</v>
      </c>
      <c r="AJ105" s="113">
        <v>-3969754</v>
      </c>
      <c r="AK105" s="99">
        <v>1</v>
      </c>
      <c r="AL105" s="99">
        <f t="shared" si="25"/>
        <v>221</v>
      </c>
      <c r="AM105" s="117">
        <f t="shared" si="11"/>
        <v>-877315634</v>
      </c>
      <c r="AN105" s="99"/>
    </row>
    <row r="106" spans="4:47">
      <c r="F106" s="213"/>
      <c r="G106" s="213"/>
      <c r="H106" s="213"/>
      <c r="I106" s="213"/>
      <c r="J106" s="32" t="s">
        <v>4756</v>
      </c>
      <c r="K106" s="213"/>
      <c r="L106" s="1"/>
      <c r="M106" s="1"/>
      <c r="N106" s="113">
        <v>30000000</v>
      </c>
      <c r="O106" t="s">
        <v>25</v>
      </c>
      <c r="Q106" s="35">
        <v>2272487</v>
      </c>
      <c r="R106" s="5" t="s">
        <v>4595</v>
      </c>
      <c r="S106" s="5">
        <f>S105-42</f>
        <v>187</v>
      </c>
      <c r="T106" s="5" t="s">
        <v>4596</v>
      </c>
      <c r="U106" s="168">
        <v>174.9</v>
      </c>
      <c r="V106" s="99">
        <f t="shared" si="22"/>
        <v>202.64824438356169</v>
      </c>
      <c r="W106" s="32">
        <f t="shared" si="23"/>
        <v>206.70120927123293</v>
      </c>
      <c r="X106" s="32">
        <f t="shared" si="24"/>
        <v>210.75417415890416</v>
      </c>
      <c r="Y106" s="96">
        <v>8695</v>
      </c>
      <c r="AH106" s="99">
        <v>86</v>
      </c>
      <c r="AI106" s="113" t="s">
        <v>4567</v>
      </c>
      <c r="AJ106" s="113">
        <v>-25574455</v>
      </c>
      <c r="AK106" s="99">
        <v>0</v>
      </c>
      <c r="AL106" s="99">
        <f t="shared" si="25"/>
        <v>220</v>
      </c>
      <c r="AM106" s="117">
        <f t="shared" si="11"/>
        <v>-5626380100</v>
      </c>
      <c r="AN106" s="99"/>
      <c r="AP106" t="s">
        <v>25</v>
      </c>
    </row>
    <row r="107" spans="4:47">
      <c r="F107" s="199"/>
      <c r="G107" s="199"/>
      <c r="H107" s="199"/>
      <c r="I107" s="199"/>
      <c r="J107" s="214" t="s">
        <v>5164</v>
      </c>
      <c r="K107" s="199">
        <f>SUM(K100:K105)</f>
        <v>330</v>
      </c>
      <c r="L107" s="215"/>
      <c r="M107" s="215"/>
      <c r="N107" s="183"/>
      <c r="Q107" s="35">
        <v>3975257</v>
      </c>
      <c r="R107" s="5" t="s">
        <v>4600</v>
      </c>
      <c r="S107" s="5">
        <f>S106-1</f>
        <v>186</v>
      </c>
      <c r="T107" s="5" t="s">
        <v>4601</v>
      </c>
      <c r="U107" s="168">
        <v>173</v>
      </c>
      <c r="V107" s="99">
        <f t="shared" si="22"/>
        <v>200.31409315068493</v>
      </c>
      <c r="W107" s="32">
        <f t="shared" si="23"/>
        <v>204.32037501369862</v>
      </c>
      <c r="X107" s="32">
        <f t="shared" si="24"/>
        <v>208.32665687671232</v>
      </c>
      <c r="Y107" s="96"/>
      <c r="AH107" s="99">
        <v>87</v>
      </c>
      <c r="AI107" s="113" t="s">
        <v>4567</v>
      </c>
      <c r="AJ107" s="113">
        <v>4000000</v>
      </c>
      <c r="AK107" s="99">
        <v>1</v>
      </c>
      <c r="AL107" s="99">
        <f t="shared" si="25"/>
        <v>220</v>
      </c>
      <c r="AM107" s="117">
        <f t="shared" si="11"/>
        <v>880000000</v>
      </c>
      <c r="AN107" s="99"/>
    </row>
    <row r="108" spans="4:47">
      <c r="F108" s="213"/>
      <c r="G108" s="213"/>
      <c r="H108" s="213" t="s">
        <v>25</v>
      </c>
      <c r="I108" s="213"/>
      <c r="J108" s="32"/>
      <c r="K108" s="213">
        <v>0</v>
      </c>
      <c r="L108" s="39">
        <f>10*P47</f>
        <v>4180000</v>
      </c>
      <c r="M108" s="1">
        <f>K108*L108</f>
        <v>0</v>
      </c>
      <c r="N108" s="113">
        <f>SUM(N100:N106)-M108</f>
        <v>25753</v>
      </c>
      <c r="P108" s="114"/>
      <c r="Q108" s="35">
        <v>1031662</v>
      </c>
      <c r="R108" s="5" t="s">
        <v>4232</v>
      </c>
      <c r="S108" s="5">
        <f>S107-1</f>
        <v>185</v>
      </c>
      <c r="T108" s="5" t="s">
        <v>4604</v>
      </c>
      <c r="U108" s="168">
        <v>171.2</v>
      </c>
      <c r="V108" s="99">
        <f t="shared" si="22"/>
        <v>198.09856876712328</v>
      </c>
      <c r="W108" s="32">
        <f t="shared" si="23"/>
        <v>202.06054014246575</v>
      </c>
      <c r="X108" s="32">
        <f t="shared" si="24"/>
        <v>206.02251151780823</v>
      </c>
      <c r="Y108" s="96"/>
      <c r="AH108" s="99">
        <v>88</v>
      </c>
      <c r="AI108" s="113" t="s">
        <v>993</v>
      </c>
      <c r="AJ108" s="113">
        <v>-5000000</v>
      </c>
      <c r="AK108" s="99">
        <v>2</v>
      </c>
      <c r="AL108" s="99">
        <f t="shared" si="25"/>
        <v>219</v>
      </c>
      <c r="AM108" s="117">
        <f t="shared" si="11"/>
        <v>-1095000000</v>
      </c>
      <c r="AN108" s="99"/>
    </row>
    <row r="109" spans="4:47">
      <c r="F109" s="199"/>
      <c r="G109" s="199"/>
      <c r="H109" s="199"/>
      <c r="I109" s="199"/>
      <c r="J109" s="214"/>
      <c r="K109" s="245"/>
      <c r="L109" s="215" t="s">
        <v>4251</v>
      </c>
      <c r="M109" s="215" t="s">
        <v>4658</v>
      </c>
      <c r="N109" s="183" t="s">
        <v>4659</v>
      </c>
      <c r="Q109" s="35">
        <v>577500</v>
      </c>
      <c r="R109" s="5" t="s">
        <v>4232</v>
      </c>
      <c r="S109" s="5">
        <f>S108</f>
        <v>185</v>
      </c>
      <c r="T109" s="5" t="s">
        <v>4608</v>
      </c>
      <c r="U109" s="168">
        <v>175</v>
      </c>
      <c r="V109" s="99">
        <f t="shared" si="22"/>
        <v>202.49561643835619</v>
      </c>
      <c r="W109" s="32">
        <f t="shared" si="23"/>
        <v>206.54552876712333</v>
      </c>
      <c r="X109" s="32">
        <f t="shared" si="24"/>
        <v>210.59544109589044</v>
      </c>
      <c r="Y109" s="96"/>
      <c r="AD109" s="96"/>
      <c r="AE109"/>
      <c r="AF109"/>
      <c r="AH109" s="99">
        <v>89</v>
      </c>
      <c r="AI109" s="113" t="s">
        <v>4572</v>
      </c>
      <c r="AJ109" s="113">
        <v>10000000</v>
      </c>
      <c r="AK109" s="99">
        <v>4</v>
      </c>
      <c r="AL109" s="99">
        <f t="shared" si="25"/>
        <v>217</v>
      </c>
      <c r="AM109" s="117">
        <f t="shared" si="11"/>
        <v>2170000000</v>
      </c>
      <c r="AN109" s="99"/>
    </row>
    <row r="110" spans="4:47">
      <c r="F110" s="213"/>
      <c r="G110" s="213"/>
      <c r="H110" s="213"/>
      <c r="I110" s="213"/>
      <c r="J110" s="32" t="s">
        <v>4665</v>
      </c>
      <c r="K110" s="213"/>
      <c r="L110" s="1"/>
      <c r="M110" s="1"/>
      <c r="N110" s="113"/>
      <c r="Q110" s="35">
        <v>12636487</v>
      </c>
      <c r="R110" s="5" t="s">
        <v>3690</v>
      </c>
      <c r="S110" s="5">
        <f>S109-2</f>
        <v>183</v>
      </c>
      <c r="T110" s="5" t="s">
        <v>4611</v>
      </c>
      <c r="U110" s="168">
        <v>172.1</v>
      </c>
      <c r="V110" s="99">
        <f t="shared" si="22"/>
        <v>198.87593095890412</v>
      </c>
      <c r="W110" s="32">
        <f t="shared" si="23"/>
        <v>202.85344957808221</v>
      </c>
      <c r="X110" s="32">
        <f t="shared" si="24"/>
        <v>206.83096819726029</v>
      </c>
      <c r="AH110" s="99">
        <v>90</v>
      </c>
      <c r="AI110" s="113" t="s">
        <v>4574</v>
      </c>
      <c r="AJ110" s="113">
        <v>-5241937</v>
      </c>
      <c r="AK110" s="99">
        <v>0</v>
      </c>
      <c r="AL110" s="99">
        <f t="shared" si="25"/>
        <v>213</v>
      </c>
      <c r="AM110" s="117">
        <f t="shared" si="11"/>
        <v>-1116532581</v>
      </c>
      <c r="AN110" s="99"/>
    </row>
    <row r="111" spans="4:47">
      <c r="M111" t="s">
        <v>25</v>
      </c>
      <c r="Q111" s="169">
        <v>60508</v>
      </c>
      <c r="R111" s="168" t="s">
        <v>4614</v>
      </c>
      <c r="S111" s="168">
        <f>S110-3</f>
        <v>180</v>
      </c>
      <c r="T111" s="168" t="s">
        <v>4884</v>
      </c>
      <c r="U111" s="168">
        <v>1204.7</v>
      </c>
      <c r="V111" s="99">
        <f t="shared" si="22"/>
        <v>1389.3590564383564</v>
      </c>
      <c r="W111" s="32">
        <f t="shared" si="23"/>
        <v>1417.1462375671235</v>
      </c>
      <c r="X111" s="32">
        <f t="shared" si="24"/>
        <v>1444.9334186958909</v>
      </c>
      <c r="AH111" s="99">
        <v>91</v>
      </c>
      <c r="AI111" s="113" t="s">
        <v>4574</v>
      </c>
      <c r="AJ111" s="113">
        <v>21900000</v>
      </c>
      <c r="AK111" s="99">
        <v>2</v>
      </c>
      <c r="AL111" s="99">
        <f t="shared" si="25"/>
        <v>213</v>
      </c>
      <c r="AM111" s="117">
        <f t="shared" si="11"/>
        <v>4664700000</v>
      </c>
      <c r="AN111" s="99"/>
      <c r="AP111" t="s">
        <v>25</v>
      </c>
      <c r="AU111"/>
    </row>
    <row r="112" spans="4:47">
      <c r="P112" s="114"/>
      <c r="Q112" s="39">
        <v>11121445</v>
      </c>
      <c r="R112" s="5" t="s">
        <v>4614</v>
      </c>
      <c r="S112" s="5">
        <f>S111</f>
        <v>180</v>
      </c>
      <c r="T112" s="5" t="s">
        <v>4792</v>
      </c>
      <c r="U112" s="168">
        <v>171.8</v>
      </c>
      <c r="V112" s="99">
        <f t="shared" si="22"/>
        <v>198.13388054794524</v>
      </c>
      <c r="W112" s="32">
        <f t="shared" si="23"/>
        <v>202.09655815890414</v>
      </c>
      <c r="X112" s="32">
        <f t="shared" si="24"/>
        <v>206.05923576986305</v>
      </c>
      <c r="Y112">
        <v>13000</v>
      </c>
      <c r="AH112" s="99">
        <v>92</v>
      </c>
      <c r="AI112" s="113" t="s">
        <v>4582</v>
      </c>
      <c r="AJ112" s="113">
        <v>-15000000</v>
      </c>
      <c r="AK112" s="99">
        <v>0</v>
      </c>
      <c r="AL112" s="99">
        <f t="shared" si="25"/>
        <v>211</v>
      </c>
      <c r="AM112" s="117">
        <f t="shared" si="11"/>
        <v>-3165000000</v>
      </c>
      <c r="AN112" s="99"/>
      <c r="AO112" t="s">
        <v>25</v>
      </c>
    </row>
    <row r="113" spans="6:46">
      <c r="K113" s="168" t="s">
        <v>4534</v>
      </c>
      <c r="L113" s="168" t="s">
        <v>4535</v>
      </c>
      <c r="M113" s="168" t="s">
        <v>4429</v>
      </c>
      <c r="N113" s="56" t="s">
        <v>190</v>
      </c>
      <c r="Q113" s="35">
        <v>40048573</v>
      </c>
      <c r="R113" s="5" t="s">
        <v>4624</v>
      </c>
      <c r="S113" s="5">
        <f>S112-3</f>
        <v>177</v>
      </c>
      <c r="T113" s="5" t="s">
        <v>4628</v>
      </c>
      <c r="U113" s="168">
        <v>498.9</v>
      </c>
      <c r="V113" s="99">
        <f t="shared" si="22"/>
        <v>574.22433205479456</v>
      </c>
      <c r="W113" s="32">
        <f t="shared" ref="W113:W144" si="28">V113*(1+$W$19/100)</f>
        <v>585.7088186958905</v>
      </c>
      <c r="X113" s="32">
        <f t="shared" ref="X113:X144" si="29">V113*(1+$X$19/100)</f>
        <v>597.19330533698633</v>
      </c>
      <c r="Y113" t="s">
        <v>25</v>
      </c>
      <c r="AH113" s="99">
        <v>93</v>
      </c>
      <c r="AI113" s="113" t="s">
        <v>4582</v>
      </c>
      <c r="AJ113" s="113">
        <v>3000000</v>
      </c>
      <c r="AK113" s="99">
        <v>1</v>
      </c>
      <c r="AL113" s="99">
        <f t="shared" si="25"/>
        <v>211</v>
      </c>
      <c r="AM113" s="117">
        <f t="shared" si="11"/>
        <v>633000000</v>
      </c>
      <c r="AN113" s="99"/>
    </row>
    <row r="114" spans="6:46">
      <c r="H114" s="114"/>
      <c r="K114" s="168" t="s">
        <v>4241</v>
      </c>
      <c r="L114" s="169">
        <v>1100000</v>
      </c>
      <c r="M114" s="169">
        <v>1637000</v>
      </c>
      <c r="N114" s="168">
        <f t="shared" ref="N114:N122" si="30">(M114-L114)*100/L114</f>
        <v>48.81818181818182</v>
      </c>
      <c r="Q114" s="35">
        <v>559461</v>
      </c>
      <c r="R114" s="5" t="s">
        <v>4662</v>
      </c>
      <c r="S114" s="5">
        <f>S113-7</f>
        <v>170</v>
      </c>
      <c r="T114" s="5" t="s">
        <v>4669</v>
      </c>
      <c r="U114" s="210">
        <v>508.1</v>
      </c>
      <c r="V114" s="99">
        <f t="shared" si="22"/>
        <v>582.08492821917821</v>
      </c>
      <c r="W114" s="32">
        <f t="shared" si="28"/>
        <v>593.72662678356176</v>
      </c>
      <c r="X114" s="32">
        <f t="shared" si="29"/>
        <v>605.36832534794542</v>
      </c>
      <c r="Y114" t="s">
        <v>25</v>
      </c>
      <c r="AH114" s="99">
        <v>94</v>
      </c>
      <c r="AI114" s="113" t="s">
        <v>4586</v>
      </c>
      <c r="AJ114" s="113">
        <v>-2103736</v>
      </c>
      <c r="AK114" s="99">
        <v>0</v>
      </c>
      <c r="AL114" s="99">
        <f t="shared" si="25"/>
        <v>210</v>
      </c>
      <c r="AM114" s="117">
        <f t="shared" si="11"/>
        <v>-441784560</v>
      </c>
      <c r="AN114" s="99"/>
    </row>
    <row r="115" spans="6:46">
      <c r="F115" s="96"/>
      <c r="G115" s="213"/>
      <c r="H115" s="213" t="s">
        <v>5196</v>
      </c>
      <c r="I115" s="213" t="s">
        <v>5169</v>
      </c>
      <c r="J115" s="1">
        <v>16404873</v>
      </c>
      <c r="K115" s="5" t="s">
        <v>4529</v>
      </c>
      <c r="L115" s="169">
        <v>1100000</v>
      </c>
      <c r="M115" s="169">
        <v>4748000</v>
      </c>
      <c r="N115" s="168">
        <f t="shared" si="30"/>
        <v>331.63636363636363</v>
      </c>
      <c r="Q115" s="35">
        <v>622942</v>
      </c>
      <c r="R115" s="5" t="s">
        <v>4675</v>
      </c>
      <c r="S115" s="5">
        <f>S114-1</f>
        <v>169</v>
      </c>
      <c r="T115" s="5" t="s">
        <v>4676</v>
      </c>
      <c r="U115" s="210">
        <v>503.3</v>
      </c>
      <c r="V115" s="99">
        <f t="shared" si="22"/>
        <v>576.19990246575355</v>
      </c>
      <c r="W115" s="32">
        <f t="shared" si="28"/>
        <v>587.72390051506864</v>
      </c>
      <c r="X115" s="32">
        <f t="shared" si="29"/>
        <v>599.24789856438372</v>
      </c>
      <c r="AH115" s="99">
        <v>95</v>
      </c>
      <c r="AI115" s="113" t="s">
        <v>4586</v>
      </c>
      <c r="AJ115" s="113">
        <v>220000</v>
      </c>
      <c r="AK115" s="99">
        <v>3</v>
      </c>
      <c r="AL115" s="99">
        <f t="shared" si="25"/>
        <v>210</v>
      </c>
      <c r="AM115" s="117">
        <f t="shared" si="11"/>
        <v>46200000</v>
      </c>
      <c r="AN115" s="99"/>
      <c r="AR115" s="96"/>
      <c r="AS115" s="96"/>
      <c r="AT115"/>
    </row>
    <row r="116" spans="6:46">
      <c r="F116" s="96"/>
      <c r="G116" s="213" t="s">
        <v>940</v>
      </c>
      <c r="H116" s="213" t="s">
        <v>4534</v>
      </c>
      <c r="I116" s="213" t="s">
        <v>936</v>
      </c>
      <c r="J116" s="213" t="s">
        <v>4754</v>
      </c>
      <c r="K116" s="5" t="s">
        <v>4530</v>
      </c>
      <c r="L116" s="169">
        <v>1100000</v>
      </c>
      <c r="M116" s="169">
        <v>5137000</v>
      </c>
      <c r="N116" s="168">
        <f t="shared" si="30"/>
        <v>367</v>
      </c>
      <c r="Q116" s="35">
        <v>1472140</v>
      </c>
      <c r="R116" s="5" t="s">
        <v>4681</v>
      </c>
      <c r="S116" s="5">
        <f>S115-3</f>
        <v>166</v>
      </c>
      <c r="T116" s="5" t="s">
        <v>4683</v>
      </c>
      <c r="U116" s="168">
        <v>502</v>
      </c>
      <c r="V116" s="99">
        <f t="shared" si="22"/>
        <v>573.55631780821921</v>
      </c>
      <c r="W116" s="32">
        <f t="shared" si="28"/>
        <v>585.02744416438361</v>
      </c>
      <c r="X116" s="32">
        <f t="shared" si="29"/>
        <v>596.49857052054801</v>
      </c>
      <c r="Y116">
        <v>23000</v>
      </c>
      <c r="AH116" s="99">
        <v>96</v>
      </c>
      <c r="AI116" s="113" t="s">
        <v>4595</v>
      </c>
      <c r="AJ116" s="113">
        <v>4000000</v>
      </c>
      <c r="AK116" s="99">
        <v>1</v>
      </c>
      <c r="AL116" s="99">
        <f t="shared" si="25"/>
        <v>207</v>
      </c>
      <c r="AM116" s="117">
        <f t="shared" si="11"/>
        <v>828000000</v>
      </c>
      <c r="AN116" s="99"/>
    </row>
    <row r="117" spans="6:46">
      <c r="F117" s="96"/>
      <c r="G117" s="1">
        <f>P46</f>
        <v>243.4</v>
      </c>
      <c r="H117" s="213" t="s">
        <v>4241</v>
      </c>
      <c r="I117" s="213">
        <v>151599</v>
      </c>
      <c r="J117" s="1">
        <f>I117*G117</f>
        <v>36899196.600000001</v>
      </c>
      <c r="K117" s="19" t="s">
        <v>4388</v>
      </c>
      <c r="L117" s="169">
        <v>1100000</v>
      </c>
      <c r="M117" s="169">
        <v>4300000</v>
      </c>
      <c r="N117" s="168">
        <f t="shared" si="30"/>
        <v>290.90909090909093</v>
      </c>
      <c r="P117" s="114"/>
      <c r="Q117" s="35">
        <v>4003090</v>
      </c>
      <c r="R117" s="5" t="s">
        <v>4685</v>
      </c>
      <c r="S117" s="5">
        <f>S116-1</f>
        <v>165</v>
      </c>
      <c r="T117" s="5" t="s">
        <v>5151</v>
      </c>
      <c r="U117" s="168">
        <v>481.7</v>
      </c>
      <c r="V117" s="99">
        <f t="shared" si="22"/>
        <v>549.99318246575342</v>
      </c>
      <c r="W117" s="32">
        <f t="shared" si="28"/>
        <v>560.99304611506852</v>
      </c>
      <c r="X117" s="32">
        <f t="shared" si="29"/>
        <v>571.99290976438363</v>
      </c>
      <c r="Y117">
        <v>6000</v>
      </c>
      <c r="AH117" s="99">
        <v>97</v>
      </c>
      <c r="AI117" s="113" t="s">
        <v>4600</v>
      </c>
      <c r="AJ117" s="113">
        <v>-9000000</v>
      </c>
      <c r="AK117" s="99">
        <v>0</v>
      </c>
      <c r="AL117" s="99">
        <f t="shared" si="25"/>
        <v>206</v>
      </c>
      <c r="AM117" s="117">
        <f t="shared" si="11"/>
        <v>-1854000000</v>
      </c>
      <c r="AN117" s="99"/>
      <c r="AP117" t="s">
        <v>25</v>
      </c>
    </row>
    <row r="118" spans="6:46">
      <c r="F118" s="96"/>
      <c r="G118" s="1">
        <f>P43</f>
        <v>3921.4</v>
      </c>
      <c r="H118" s="213" t="s">
        <v>4388</v>
      </c>
      <c r="I118" s="213">
        <v>0</v>
      </c>
      <c r="J118" s="1">
        <f t="shared" ref="J118:J119" si="31">I118*G118</f>
        <v>0</v>
      </c>
      <c r="K118" s="5" t="s">
        <v>4406</v>
      </c>
      <c r="L118" s="169">
        <v>1100000</v>
      </c>
      <c r="M118" s="169">
        <v>3191000</v>
      </c>
      <c r="N118" s="168">
        <f t="shared" si="30"/>
        <v>190.09090909090909</v>
      </c>
      <c r="Q118" s="169">
        <v>6150141</v>
      </c>
      <c r="R118" s="213" t="s">
        <v>4874</v>
      </c>
      <c r="S118" s="213">
        <f>S117-64</f>
        <v>101</v>
      </c>
      <c r="T118" s="213" t="s">
        <v>4881</v>
      </c>
      <c r="U118" s="213">
        <v>180.6</v>
      </c>
      <c r="V118" s="99">
        <f t="shared" si="22"/>
        <v>197.33790904109591</v>
      </c>
      <c r="W118" s="32">
        <f t="shared" si="28"/>
        <v>201.28466722191783</v>
      </c>
      <c r="X118" s="32">
        <f t="shared" si="29"/>
        <v>205.23142540273975</v>
      </c>
      <c r="AH118" s="99">
        <v>98</v>
      </c>
      <c r="AI118" s="113" t="s">
        <v>4600</v>
      </c>
      <c r="AJ118" s="113">
        <v>13900000</v>
      </c>
      <c r="AK118" s="99">
        <v>2</v>
      </c>
      <c r="AL118" s="99">
        <f t="shared" si="25"/>
        <v>206</v>
      </c>
      <c r="AM118" s="117">
        <f t="shared" si="11"/>
        <v>2863400000</v>
      </c>
      <c r="AN118" s="99"/>
    </row>
    <row r="119" spans="6:46">
      <c r="F119" s="96"/>
      <c r="G119" s="1">
        <f>P44</f>
        <v>713</v>
      </c>
      <c r="H119" s="213" t="s">
        <v>4406</v>
      </c>
      <c r="I119" s="213">
        <v>1205</v>
      </c>
      <c r="J119" s="1">
        <f t="shared" si="31"/>
        <v>859165</v>
      </c>
      <c r="K119" s="5" t="s">
        <v>4531</v>
      </c>
      <c r="L119" s="169">
        <v>1100000</v>
      </c>
      <c r="M119" s="169">
        <v>5623000</v>
      </c>
      <c r="N119" s="168">
        <f t="shared" si="30"/>
        <v>411.18181818181819</v>
      </c>
      <c r="Q119" s="169">
        <v>1399908</v>
      </c>
      <c r="R119" s="213" t="s">
        <v>4946</v>
      </c>
      <c r="S119" s="213">
        <f>S118-20</f>
        <v>81</v>
      </c>
      <c r="T119" s="213" t="s">
        <v>4947</v>
      </c>
      <c r="U119" s="213">
        <v>194</v>
      </c>
      <c r="V119" s="99">
        <f t="shared" si="22"/>
        <v>209.00337534246577</v>
      </c>
      <c r="W119" s="32">
        <f t="shared" si="28"/>
        <v>213.1834428493151</v>
      </c>
      <c r="X119" s="32">
        <f t="shared" si="29"/>
        <v>217.36351035616443</v>
      </c>
      <c r="Y119">
        <v>3300</v>
      </c>
      <c r="AH119" s="99">
        <v>99</v>
      </c>
      <c r="AI119" s="113" t="s">
        <v>4609</v>
      </c>
      <c r="AJ119" s="113">
        <v>-8127577</v>
      </c>
      <c r="AK119" s="99">
        <v>1</v>
      </c>
      <c r="AL119" s="99">
        <f t="shared" si="25"/>
        <v>204</v>
      </c>
      <c r="AM119" s="117">
        <f t="shared" si="11"/>
        <v>-1658025708</v>
      </c>
      <c r="AN119" s="99"/>
      <c r="AO119" t="s">
        <v>25</v>
      </c>
      <c r="AQ119" t="s">
        <v>25</v>
      </c>
    </row>
    <row r="120" spans="6:46">
      <c r="F120" s="96"/>
      <c r="G120" s="1"/>
      <c r="H120" s="213" t="s">
        <v>25</v>
      </c>
      <c r="I120" s="213"/>
      <c r="J120" s="1"/>
      <c r="K120" s="19" t="s">
        <v>4392</v>
      </c>
      <c r="L120" s="169">
        <v>1100000</v>
      </c>
      <c r="M120" s="169">
        <v>7728000</v>
      </c>
      <c r="N120" s="168">
        <f t="shared" si="30"/>
        <v>602.5454545454545</v>
      </c>
      <c r="Q120" s="169">
        <v>1204033</v>
      </c>
      <c r="R120" s="213" t="s">
        <v>4956</v>
      </c>
      <c r="S120" s="213">
        <f>S119-7</f>
        <v>74</v>
      </c>
      <c r="T120" s="213" t="s">
        <v>4959</v>
      </c>
      <c r="U120" s="213">
        <v>218.5</v>
      </c>
      <c r="V120" s="99">
        <f t="shared" si="22"/>
        <v>234.22481643835619</v>
      </c>
      <c r="W120" s="32">
        <f t="shared" si="28"/>
        <v>238.90931276712331</v>
      </c>
      <c r="X120" s="32">
        <f t="shared" si="29"/>
        <v>243.59380909589044</v>
      </c>
      <c r="AH120" s="99">
        <v>100</v>
      </c>
      <c r="AI120" s="113" t="s">
        <v>3690</v>
      </c>
      <c r="AJ120" s="113">
        <v>15792549</v>
      </c>
      <c r="AK120" s="99">
        <v>3</v>
      </c>
      <c r="AL120" s="99">
        <f t="shared" si="25"/>
        <v>203</v>
      </c>
      <c r="AM120" s="117">
        <f t="shared" si="11"/>
        <v>3205887447</v>
      </c>
      <c r="AN120" s="99"/>
      <c r="AO120" t="s">
        <v>25</v>
      </c>
      <c r="AP120" t="s">
        <v>25</v>
      </c>
    </row>
    <row r="121" spans="6:46">
      <c r="F121" s="96"/>
      <c r="G121" s="213"/>
      <c r="H121" s="213"/>
      <c r="I121" s="113">
        <f>J121-J115</f>
        <v>21353488.600000001</v>
      </c>
      <c r="J121" s="1">
        <f>SUM(J117:J119)</f>
        <v>37758361.600000001</v>
      </c>
      <c r="K121" s="5" t="s">
        <v>4533</v>
      </c>
      <c r="L121" s="169">
        <v>1100000</v>
      </c>
      <c r="M121" s="169">
        <v>2904000</v>
      </c>
      <c r="N121" s="168">
        <f t="shared" si="30"/>
        <v>164</v>
      </c>
      <c r="Q121" s="169">
        <v>8382674</v>
      </c>
      <c r="R121" s="213" t="s">
        <v>4966</v>
      </c>
      <c r="S121" s="213">
        <f>S120-7</f>
        <v>67</v>
      </c>
      <c r="T121" s="213" t="s">
        <v>4972</v>
      </c>
      <c r="U121" s="213">
        <v>192</v>
      </c>
      <c r="V121" s="99">
        <f t="shared" si="22"/>
        <v>204.78667397260273</v>
      </c>
      <c r="W121" s="32">
        <f t="shared" si="28"/>
        <v>208.88240745205479</v>
      </c>
      <c r="X121" s="32">
        <f t="shared" si="29"/>
        <v>212.97814093150686</v>
      </c>
      <c r="AH121" s="99">
        <v>101</v>
      </c>
      <c r="AI121" s="113" t="s">
        <v>4614</v>
      </c>
      <c r="AJ121" s="113">
        <v>8800000</v>
      </c>
      <c r="AK121" s="99">
        <v>0</v>
      </c>
      <c r="AL121" s="99">
        <f t="shared" ref="AL121:AL125" si="32">AL122+AK121</f>
        <v>200</v>
      </c>
      <c r="AM121" s="117">
        <f t="shared" ref="AM121:AM144" si="33">AJ121*AL121</f>
        <v>1760000000</v>
      </c>
      <c r="AN121" s="99"/>
      <c r="AP121" t="s">
        <v>25</v>
      </c>
    </row>
    <row r="122" spans="6:46" ht="45">
      <c r="G122" s="213"/>
      <c r="H122" s="213"/>
      <c r="I122" s="213" t="s">
        <v>916</v>
      </c>
      <c r="J122" s="213" t="s">
        <v>6</v>
      </c>
      <c r="K122" s="264" t="s">
        <v>1085</v>
      </c>
      <c r="L122" s="169">
        <v>1100000</v>
      </c>
      <c r="M122" s="169">
        <v>3400000</v>
      </c>
      <c r="N122" s="168">
        <f t="shared" si="30"/>
        <v>209.09090909090909</v>
      </c>
      <c r="P122" s="114"/>
      <c r="Q122" s="169">
        <v>190884649</v>
      </c>
      <c r="R122" s="213" t="s">
        <v>4986</v>
      </c>
      <c r="S122" s="213">
        <f>S121-9</f>
        <v>58</v>
      </c>
      <c r="T122" s="213" t="s">
        <v>4989</v>
      </c>
      <c r="U122" s="213">
        <v>193.6</v>
      </c>
      <c r="V122" s="99">
        <f t="shared" si="22"/>
        <v>205.15659397260276</v>
      </c>
      <c r="W122" s="32">
        <f t="shared" si="28"/>
        <v>209.25972585205483</v>
      </c>
      <c r="X122" s="32">
        <f t="shared" si="29"/>
        <v>213.36285773150689</v>
      </c>
      <c r="Y122" t="s">
        <v>25</v>
      </c>
      <c r="AH122" s="121">
        <v>102</v>
      </c>
      <c r="AI122" s="79" t="s">
        <v>4614</v>
      </c>
      <c r="AJ122" s="79">
        <v>13071612</v>
      </c>
      <c r="AK122" s="121">
        <v>1</v>
      </c>
      <c r="AL122" s="121">
        <f t="shared" si="32"/>
        <v>200</v>
      </c>
      <c r="AM122" s="79">
        <f t="shared" si="33"/>
        <v>2614322400</v>
      </c>
      <c r="AN122" s="205" t="s">
        <v>4615</v>
      </c>
    </row>
    <row r="123" spans="6:46">
      <c r="K123" s="243" t="s">
        <v>4562</v>
      </c>
      <c r="Q123" s="169">
        <v>2099962</v>
      </c>
      <c r="R123" s="213" t="s">
        <v>4988</v>
      </c>
      <c r="S123" s="213">
        <f>S122-1</f>
        <v>57</v>
      </c>
      <c r="T123" s="213" t="s">
        <v>4992</v>
      </c>
      <c r="U123" s="213">
        <v>196.5</v>
      </c>
      <c r="V123" s="99">
        <f t="shared" si="22"/>
        <v>208.07896438356164</v>
      </c>
      <c r="W123" s="32">
        <f t="shared" si="28"/>
        <v>212.24054367123287</v>
      </c>
      <c r="X123" s="32">
        <f t="shared" si="29"/>
        <v>216.4021229589041</v>
      </c>
      <c r="Y123" t="s">
        <v>25</v>
      </c>
      <c r="AH123" s="89">
        <v>103</v>
      </c>
      <c r="AI123" s="90" t="s">
        <v>4618</v>
      </c>
      <c r="AJ123" s="90">
        <v>16727037</v>
      </c>
      <c r="AK123" s="89">
        <v>0</v>
      </c>
      <c r="AL123" s="89">
        <f t="shared" si="32"/>
        <v>199</v>
      </c>
      <c r="AM123" s="90">
        <f t="shared" si="33"/>
        <v>3328680363</v>
      </c>
      <c r="AN123" s="89" t="s">
        <v>4625</v>
      </c>
    </row>
    <row r="124" spans="6:46">
      <c r="G124" s="99"/>
      <c r="H124" s="213" t="s">
        <v>5170</v>
      </c>
      <c r="I124" s="99" t="s">
        <v>5099</v>
      </c>
      <c r="J124" s="1">
        <v>20000000</v>
      </c>
      <c r="K124" s="243" t="s">
        <v>4563</v>
      </c>
      <c r="Q124" s="169">
        <v>130756</v>
      </c>
      <c r="R124" s="213" t="s">
        <v>4993</v>
      </c>
      <c r="S124" s="213">
        <f>S123-1</f>
        <v>56</v>
      </c>
      <c r="T124" s="213" t="s">
        <v>4994</v>
      </c>
      <c r="U124" s="213">
        <v>197.8</v>
      </c>
      <c r="V124" s="99">
        <f t="shared" si="22"/>
        <v>209.30383123287675</v>
      </c>
      <c r="W124" s="32">
        <f t="shared" si="28"/>
        <v>213.48990785753429</v>
      </c>
      <c r="X124" s="32">
        <f t="shared" si="29"/>
        <v>217.67598448219184</v>
      </c>
      <c r="Y124" s="122" t="s">
        <v>25</v>
      </c>
      <c r="AH124" s="99">
        <v>104</v>
      </c>
      <c r="AI124" s="113" t="s">
        <v>4618</v>
      </c>
      <c r="AJ124" s="113">
        <v>12000000</v>
      </c>
      <c r="AK124" s="99">
        <v>1</v>
      </c>
      <c r="AL124" s="99">
        <f t="shared" si="32"/>
        <v>199</v>
      </c>
      <c r="AM124" s="117">
        <f t="shared" si="33"/>
        <v>2388000000</v>
      </c>
      <c r="AN124" s="99" t="s">
        <v>4626</v>
      </c>
    </row>
    <row r="125" spans="6:46">
      <c r="G125" s="1">
        <f>P46</f>
        <v>243.4</v>
      </c>
      <c r="H125" s="99" t="s">
        <v>4241</v>
      </c>
      <c r="I125" s="99">
        <v>89803</v>
      </c>
      <c r="J125" s="1">
        <f>G125*I125</f>
        <v>21858050.199999999</v>
      </c>
      <c r="K125" s="243" t="s">
        <v>4564</v>
      </c>
      <c r="Q125" s="169">
        <v>795874</v>
      </c>
      <c r="R125" s="213" t="s">
        <v>5007</v>
      </c>
      <c r="S125" s="213">
        <f>S124-6</f>
        <v>50</v>
      </c>
      <c r="T125" s="213" t="s">
        <v>5008</v>
      </c>
      <c r="U125" s="213">
        <v>198.1</v>
      </c>
      <c r="V125" s="99">
        <f t="shared" si="22"/>
        <v>208.7094761643836</v>
      </c>
      <c r="W125" s="32">
        <f t="shared" si="28"/>
        <v>212.88366568767128</v>
      </c>
      <c r="X125" s="32">
        <f t="shared" si="29"/>
        <v>217.05785521095896</v>
      </c>
      <c r="AH125" s="89">
        <v>105</v>
      </c>
      <c r="AI125" s="90" t="s">
        <v>4545</v>
      </c>
      <c r="AJ125" s="90">
        <v>88697667</v>
      </c>
      <c r="AK125" s="89">
        <v>1</v>
      </c>
      <c r="AL125" s="89">
        <f t="shared" si="32"/>
        <v>198</v>
      </c>
      <c r="AM125" s="90">
        <f t="shared" si="33"/>
        <v>17562138066</v>
      </c>
      <c r="AN125" s="89" t="s">
        <v>4627</v>
      </c>
      <c r="AP125" t="s">
        <v>25</v>
      </c>
    </row>
    <row r="126" spans="6:46">
      <c r="G126" s="99"/>
      <c r="H126" s="99"/>
      <c r="I126" s="99"/>
      <c r="J126" s="99" t="s">
        <v>25</v>
      </c>
      <c r="Q126" s="169">
        <v>400348</v>
      </c>
      <c r="R126" s="213" t="s">
        <v>5010</v>
      </c>
      <c r="S126" s="213">
        <f>S125-1</f>
        <v>49</v>
      </c>
      <c r="T126" s="213" t="s">
        <v>5012</v>
      </c>
      <c r="U126" s="213">
        <v>199.3</v>
      </c>
      <c r="V126" s="99">
        <f t="shared" si="22"/>
        <v>209.82085589041097</v>
      </c>
      <c r="W126" s="32">
        <f t="shared" si="28"/>
        <v>214.01727300821918</v>
      </c>
      <c r="X126" s="32">
        <f t="shared" si="29"/>
        <v>218.21369012602742</v>
      </c>
      <c r="Y126" t="s">
        <v>25</v>
      </c>
      <c r="AH126" s="99">
        <v>106</v>
      </c>
      <c r="AI126" s="113" t="s">
        <v>4548</v>
      </c>
      <c r="AJ126" s="113">
        <v>101000</v>
      </c>
      <c r="AK126" s="99">
        <v>0</v>
      </c>
      <c r="AL126" s="99">
        <f>AL127+AK126</f>
        <v>197</v>
      </c>
      <c r="AM126" s="117">
        <f t="shared" si="33"/>
        <v>19897000</v>
      </c>
      <c r="AN126" s="99"/>
      <c r="AQ126" t="s">
        <v>25</v>
      </c>
    </row>
    <row r="127" spans="6:46">
      <c r="G127" s="99"/>
      <c r="H127" s="99"/>
      <c r="I127" s="95">
        <f>J127-J124</f>
        <v>1858050.1999999993</v>
      </c>
      <c r="J127" s="1">
        <f>SUM(J125:J126)</f>
        <v>21858050.199999999</v>
      </c>
      <c r="Q127" s="169">
        <v>5896463</v>
      </c>
      <c r="R127" s="213" t="s">
        <v>5022</v>
      </c>
      <c r="S127" s="213">
        <f>S126-4</f>
        <v>45</v>
      </c>
      <c r="T127" s="213" t="s">
        <v>5023</v>
      </c>
      <c r="U127" s="213">
        <v>197.4</v>
      </c>
      <c r="V127" s="99">
        <f t="shared" ref="V127:V144" si="34">U127*(1+$R$91+$Q$15*S127/36500)</f>
        <v>207.2148361643836</v>
      </c>
      <c r="W127" s="32">
        <f t="shared" si="28"/>
        <v>211.35913288767128</v>
      </c>
      <c r="X127" s="32">
        <f t="shared" si="29"/>
        <v>215.50342961095896</v>
      </c>
      <c r="AH127" s="149">
        <v>107</v>
      </c>
      <c r="AI127" s="188" t="s">
        <v>4624</v>
      </c>
      <c r="AJ127" s="188">
        <v>-48200</v>
      </c>
      <c r="AK127" s="149">
        <v>0</v>
      </c>
      <c r="AL127" s="149">
        <f t="shared" ref="AL127:AL177" si="35">AL128+AK127</f>
        <v>197</v>
      </c>
      <c r="AM127" s="188">
        <f t="shared" si="33"/>
        <v>-9495400</v>
      </c>
      <c r="AN127" s="149" t="s">
        <v>4633</v>
      </c>
    </row>
    <row r="128" spans="6:46">
      <c r="G128" s="99"/>
      <c r="H128" s="99"/>
      <c r="I128" s="99" t="s">
        <v>916</v>
      </c>
      <c r="J128" s="99" t="s">
        <v>6</v>
      </c>
      <c r="Q128" s="169">
        <v>1499873</v>
      </c>
      <c r="R128" s="213" t="s">
        <v>5036</v>
      </c>
      <c r="S128" s="213">
        <f>S127-8</f>
        <v>37</v>
      </c>
      <c r="T128" s="213" t="s">
        <v>5040</v>
      </c>
      <c r="U128" s="213">
        <v>200.1</v>
      </c>
      <c r="V128" s="99">
        <f t="shared" si="34"/>
        <v>208.82107068493153</v>
      </c>
      <c r="W128" s="32">
        <f t="shared" si="28"/>
        <v>212.99749209863018</v>
      </c>
      <c r="X128" s="32">
        <f t="shared" si="29"/>
        <v>217.1739135123288</v>
      </c>
      <c r="AH128" s="89">
        <v>108</v>
      </c>
      <c r="AI128" s="90" t="s">
        <v>4624</v>
      </c>
      <c r="AJ128" s="90">
        <v>39327293</v>
      </c>
      <c r="AK128" s="89">
        <v>4</v>
      </c>
      <c r="AL128" s="149">
        <f t="shared" si="35"/>
        <v>197</v>
      </c>
      <c r="AM128" s="188">
        <f t="shared" si="33"/>
        <v>7747476721</v>
      </c>
      <c r="AN128" s="89" t="s">
        <v>4634</v>
      </c>
    </row>
    <row r="129" spans="6:43">
      <c r="Q129" s="169">
        <v>25141103</v>
      </c>
      <c r="R129" s="213" t="s">
        <v>5062</v>
      </c>
      <c r="S129" s="213">
        <f>S128-7</f>
        <v>30</v>
      </c>
      <c r="T129" s="213" t="s">
        <v>5065</v>
      </c>
      <c r="U129" s="213">
        <v>211.3</v>
      </c>
      <c r="V129" s="99">
        <f t="shared" si="34"/>
        <v>219.37455452054797</v>
      </c>
      <c r="W129" s="32">
        <f t="shared" si="28"/>
        <v>223.76204561095895</v>
      </c>
      <c r="X129" s="32">
        <f t="shared" si="29"/>
        <v>228.1495367013699</v>
      </c>
      <c r="Y129" t="s">
        <v>25</v>
      </c>
      <c r="AH129" s="89">
        <v>109</v>
      </c>
      <c r="AI129" s="90" t="s">
        <v>4648</v>
      </c>
      <c r="AJ129" s="90">
        <v>8749050</v>
      </c>
      <c r="AK129" s="89">
        <v>1</v>
      </c>
      <c r="AL129" s="89">
        <f t="shared" si="35"/>
        <v>193</v>
      </c>
      <c r="AM129" s="90">
        <f t="shared" si="33"/>
        <v>1688566650</v>
      </c>
      <c r="AN129" s="89" t="s">
        <v>4649</v>
      </c>
    </row>
    <row r="130" spans="6:43">
      <c r="G130" s="99"/>
      <c r="H130" s="213" t="s">
        <v>5171</v>
      </c>
      <c r="I130" s="99" t="s">
        <v>5098</v>
      </c>
      <c r="J130" s="1">
        <v>19795000</v>
      </c>
      <c r="Q130" s="169">
        <v>120581</v>
      </c>
      <c r="R130" s="213" t="s">
        <v>5066</v>
      </c>
      <c r="S130" s="213">
        <f>S129-1</f>
        <v>29</v>
      </c>
      <c r="T130" s="213" t="s">
        <v>5067</v>
      </c>
      <c r="U130" s="213">
        <v>210.2</v>
      </c>
      <c r="V130" s="99">
        <f t="shared" si="34"/>
        <v>218.0712701369863</v>
      </c>
      <c r="W130" s="32">
        <f t="shared" si="28"/>
        <v>222.43269553972604</v>
      </c>
      <c r="X130" s="32">
        <f t="shared" si="29"/>
        <v>226.79412094246575</v>
      </c>
      <c r="Z130" t="s">
        <v>25</v>
      </c>
      <c r="AH130" s="99">
        <v>110</v>
      </c>
      <c r="AI130" s="113" t="s">
        <v>4651</v>
      </c>
      <c r="AJ130" s="113">
        <v>60000</v>
      </c>
      <c r="AK130" s="99">
        <v>1</v>
      </c>
      <c r="AL130" s="99">
        <f t="shared" si="35"/>
        <v>192</v>
      </c>
      <c r="AM130" s="117">
        <f t="shared" si="33"/>
        <v>11520000</v>
      </c>
      <c r="AN130" s="99" t="s">
        <v>4652</v>
      </c>
    </row>
    <row r="131" spans="6:43">
      <c r="G131" s="1">
        <f>P46</f>
        <v>243.4</v>
      </c>
      <c r="H131" s="99" t="s">
        <v>4241</v>
      </c>
      <c r="I131" s="99">
        <v>46582</v>
      </c>
      <c r="J131" s="1">
        <f>G131*I131</f>
        <v>11338058.800000001</v>
      </c>
      <c r="M131">
        <v>236</v>
      </c>
      <c r="N131">
        <v>3</v>
      </c>
      <c r="O131">
        <f>M131*N131</f>
        <v>708</v>
      </c>
      <c r="Q131" s="169">
        <v>500951</v>
      </c>
      <c r="R131" s="213" t="s">
        <v>5066</v>
      </c>
      <c r="S131" s="213">
        <f>S130</f>
        <v>29</v>
      </c>
      <c r="T131" s="213" t="s">
        <v>5071</v>
      </c>
      <c r="U131" s="213">
        <v>209.6</v>
      </c>
      <c r="V131" s="99">
        <f t="shared" si="34"/>
        <v>217.44880219178083</v>
      </c>
      <c r="W131" s="32">
        <f t="shared" si="28"/>
        <v>221.79777823561645</v>
      </c>
      <c r="X131" s="32">
        <f t="shared" si="29"/>
        <v>226.14675427945207</v>
      </c>
      <c r="Y131" t="s">
        <v>25</v>
      </c>
      <c r="AH131" s="20">
        <v>111</v>
      </c>
      <c r="AI131" s="117" t="s">
        <v>4660</v>
      </c>
      <c r="AJ131" s="117">
        <v>4750000</v>
      </c>
      <c r="AK131" s="20">
        <v>0</v>
      </c>
      <c r="AL131" s="99">
        <f t="shared" si="35"/>
        <v>191</v>
      </c>
      <c r="AM131" s="117">
        <f t="shared" si="33"/>
        <v>907250000</v>
      </c>
      <c r="AN131" s="20"/>
      <c r="AQ131" t="s">
        <v>25</v>
      </c>
    </row>
    <row r="132" spans="6:43">
      <c r="G132" s="99"/>
      <c r="H132" s="99" t="s">
        <v>338</v>
      </c>
      <c r="I132" s="99"/>
      <c r="J132" s="1">
        <v>10000000</v>
      </c>
      <c r="K132" t="s">
        <v>25</v>
      </c>
      <c r="M132">
        <v>126</v>
      </c>
      <c r="N132">
        <v>1</v>
      </c>
      <c r="O132">
        <f>M132*N132</f>
        <v>126</v>
      </c>
      <c r="Q132" s="169">
        <v>493081</v>
      </c>
      <c r="R132" s="213" t="s">
        <v>5074</v>
      </c>
      <c r="S132" s="213">
        <f>S131-1</f>
        <v>28</v>
      </c>
      <c r="T132" s="213" t="s">
        <v>5076</v>
      </c>
      <c r="U132" s="213">
        <v>205.1</v>
      </c>
      <c r="V132" s="99">
        <f t="shared" si="34"/>
        <v>212.62295561643836</v>
      </c>
      <c r="W132" s="32">
        <f t="shared" si="28"/>
        <v>216.87541472876714</v>
      </c>
      <c r="X132" s="32">
        <f t="shared" si="29"/>
        <v>221.12787384109589</v>
      </c>
      <c r="Y132" t="s">
        <v>25</v>
      </c>
      <c r="AH132" s="89">
        <v>112</v>
      </c>
      <c r="AI132" s="90" t="s">
        <v>4660</v>
      </c>
      <c r="AJ132" s="90">
        <v>13101160</v>
      </c>
      <c r="AK132" s="89">
        <v>1</v>
      </c>
      <c r="AL132" s="89">
        <f t="shared" si="35"/>
        <v>191</v>
      </c>
      <c r="AM132" s="90">
        <f t="shared" si="33"/>
        <v>2502321560</v>
      </c>
      <c r="AN132" s="89" t="s">
        <v>4663</v>
      </c>
    </row>
    <row r="133" spans="6:43">
      <c r="G133" s="99"/>
      <c r="H133" s="99"/>
      <c r="I133" s="1">
        <f>J133-J130</f>
        <v>1543058.8000000007</v>
      </c>
      <c r="J133" s="1">
        <f>SUM(J131:J132)</f>
        <v>21338058.800000001</v>
      </c>
      <c r="L133">
        <v>821</v>
      </c>
      <c r="M133">
        <v>590</v>
      </c>
      <c r="N133">
        <v>0</v>
      </c>
      <c r="O133" s="96">
        <f>M133*N133</f>
        <v>0</v>
      </c>
      <c r="Q133" s="169">
        <v>43287917</v>
      </c>
      <c r="R133" s="213" t="s">
        <v>5078</v>
      </c>
      <c r="S133" s="213">
        <f>S132-3</f>
        <v>25</v>
      </c>
      <c r="T133" s="213" t="s">
        <v>5103</v>
      </c>
      <c r="U133" s="213">
        <v>203.6</v>
      </c>
      <c r="V133" s="99">
        <f t="shared" si="34"/>
        <v>210.5993775342466</v>
      </c>
      <c r="W133" s="32">
        <f t="shared" si="28"/>
        <v>214.81136508493154</v>
      </c>
      <c r="X133" s="32">
        <f t="shared" si="29"/>
        <v>219.02335263561648</v>
      </c>
      <c r="AH133" s="20">
        <v>113</v>
      </c>
      <c r="AI133" s="117" t="s">
        <v>4662</v>
      </c>
      <c r="AJ133" s="117">
        <v>-980000</v>
      </c>
      <c r="AK133" s="20">
        <v>0</v>
      </c>
      <c r="AL133" s="99">
        <f t="shared" si="35"/>
        <v>190</v>
      </c>
      <c r="AM133" s="117">
        <f t="shared" si="33"/>
        <v>-186200000</v>
      </c>
      <c r="AN133" s="20"/>
    </row>
    <row r="134" spans="6:43">
      <c r="G134" s="99"/>
      <c r="H134" s="99"/>
      <c r="I134" s="99" t="s">
        <v>916</v>
      </c>
      <c r="J134" s="99" t="s">
        <v>6</v>
      </c>
      <c r="Q134" s="169">
        <v>3195995</v>
      </c>
      <c r="R134" s="213" t="s">
        <v>5111</v>
      </c>
      <c r="S134" s="213">
        <f>S133-11</f>
        <v>14</v>
      </c>
      <c r="T134" s="213" t="s">
        <v>5112</v>
      </c>
      <c r="U134" s="213">
        <v>228</v>
      </c>
      <c r="V134" s="99">
        <f t="shared" si="34"/>
        <v>233.91425753424662</v>
      </c>
      <c r="W134" s="32">
        <f t="shared" si="28"/>
        <v>238.59254268493154</v>
      </c>
      <c r="X134" s="32">
        <f t="shared" si="29"/>
        <v>243.2708278356165</v>
      </c>
      <c r="Y134" t="s">
        <v>25</v>
      </c>
      <c r="AH134" s="89">
        <v>114</v>
      </c>
      <c r="AI134" s="90" t="s">
        <v>4662</v>
      </c>
      <c r="AJ134" s="90">
        <v>13301790</v>
      </c>
      <c r="AK134" s="89">
        <v>0</v>
      </c>
      <c r="AL134" s="89">
        <f t="shared" si="35"/>
        <v>190</v>
      </c>
      <c r="AM134" s="90">
        <f t="shared" si="33"/>
        <v>2527340100</v>
      </c>
      <c r="AN134" s="89" t="s">
        <v>4663</v>
      </c>
      <c r="AQ134" t="s">
        <v>25</v>
      </c>
    </row>
    <row r="135" spans="6:43">
      <c r="O135">
        <f>O131+O132+O133</f>
        <v>834</v>
      </c>
      <c r="Q135" s="169">
        <v>5897690</v>
      </c>
      <c r="R135" s="213" t="s">
        <v>5121</v>
      </c>
      <c r="S135" s="213">
        <f>S134-10</f>
        <v>4</v>
      </c>
      <c r="T135" s="213" t="s">
        <v>5125</v>
      </c>
      <c r="U135" s="213">
        <v>236</v>
      </c>
      <c r="V135" s="99">
        <f t="shared" si="34"/>
        <v>240.31136438356168</v>
      </c>
      <c r="W135" s="32">
        <f t="shared" si="28"/>
        <v>245.11759167123293</v>
      </c>
      <c r="X135" s="32">
        <f t="shared" si="29"/>
        <v>249.92381895890415</v>
      </c>
      <c r="AH135" s="20">
        <v>115</v>
      </c>
      <c r="AI135" s="117" t="s">
        <v>4662</v>
      </c>
      <c r="AJ135" s="117">
        <v>404000</v>
      </c>
      <c r="AK135" s="20">
        <v>5</v>
      </c>
      <c r="AL135" s="99">
        <f t="shared" si="35"/>
        <v>190</v>
      </c>
      <c r="AM135" s="117">
        <f t="shared" si="33"/>
        <v>76760000</v>
      </c>
      <c r="AN135" s="20" t="s">
        <v>4670</v>
      </c>
    </row>
    <row r="136" spans="6:43">
      <c r="Q136" s="169">
        <v>1203628</v>
      </c>
      <c r="R136" s="213" t="s">
        <v>5129</v>
      </c>
      <c r="S136" s="213">
        <f>S135-2</f>
        <v>2</v>
      </c>
      <c r="T136" s="213" t="s">
        <v>5130</v>
      </c>
      <c r="U136" s="213">
        <v>235.1</v>
      </c>
      <c r="V136" s="99">
        <f t="shared" si="34"/>
        <v>239.03422136986305</v>
      </c>
      <c r="W136" s="32">
        <f t="shared" ref="W136:W143" si="36">V136*(1+$W$19/100)</f>
        <v>243.81490579726031</v>
      </c>
      <c r="X136" s="32">
        <f t="shared" ref="X136:X143" si="37">V136*(1+$X$19/100)</f>
        <v>248.59559022465757</v>
      </c>
      <c r="Y136" t="s">
        <v>25</v>
      </c>
      <c r="AH136" s="89">
        <v>116</v>
      </c>
      <c r="AI136" s="90" t="s">
        <v>4685</v>
      </c>
      <c r="AJ136" s="90">
        <v>4291628</v>
      </c>
      <c r="AK136" s="89">
        <v>2</v>
      </c>
      <c r="AL136" s="89">
        <f t="shared" si="35"/>
        <v>185</v>
      </c>
      <c r="AM136" s="90">
        <f t="shared" si="33"/>
        <v>793951180</v>
      </c>
      <c r="AN136" s="89" t="s">
        <v>4686</v>
      </c>
    </row>
    <row r="137" spans="6:43">
      <c r="Q137" s="169">
        <v>2598983</v>
      </c>
      <c r="R137" s="213" t="s">
        <v>5127</v>
      </c>
      <c r="S137" s="213">
        <f>S136-2</f>
        <v>0</v>
      </c>
      <c r="T137" s="213" t="s">
        <v>5138</v>
      </c>
      <c r="U137" s="213">
        <v>233.2</v>
      </c>
      <c r="V137" s="99">
        <f t="shared" si="34"/>
        <v>236.74464</v>
      </c>
      <c r="W137" s="32">
        <f t="shared" si="36"/>
        <v>241.47953280000002</v>
      </c>
      <c r="X137" s="32">
        <f t="shared" si="37"/>
        <v>246.2144256</v>
      </c>
      <c r="Z137" t="s">
        <v>25</v>
      </c>
      <c r="AH137" s="20">
        <v>117</v>
      </c>
      <c r="AI137" s="117" t="s">
        <v>4688</v>
      </c>
      <c r="AJ137" s="117">
        <v>1000</v>
      </c>
      <c r="AK137" s="20">
        <v>5</v>
      </c>
      <c r="AL137" s="20">
        <f t="shared" si="35"/>
        <v>183</v>
      </c>
      <c r="AM137" s="117">
        <f t="shared" si="33"/>
        <v>183000</v>
      </c>
      <c r="AN137" s="20"/>
    </row>
    <row r="138" spans="6:43">
      <c r="Q138" s="169">
        <v>8061801</v>
      </c>
      <c r="R138" s="213" t="s">
        <v>5128</v>
      </c>
      <c r="S138" s="213">
        <f>S137-6</f>
        <v>-6</v>
      </c>
      <c r="T138" s="213" t="s">
        <v>5142</v>
      </c>
      <c r="U138" s="213">
        <v>240.4</v>
      </c>
      <c r="V138" s="99">
        <f t="shared" si="34"/>
        <v>242.94758136986306</v>
      </c>
      <c r="W138" s="32">
        <f t="shared" si="36"/>
        <v>247.80653299726032</v>
      </c>
      <c r="X138" s="32">
        <f t="shared" si="37"/>
        <v>252.66548462465758</v>
      </c>
      <c r="Y138" t="s">
        <v>25</v>
      </c>
      <c r="AH138" s="121">
        <v>118</v>
      </c>
      <c r="AI138" s="79" t="s">
        <v>4696</v>
      </c>
      <c r="AJ138" s="79">
        <v>8739459</v>
      </c>
      <c r="AK138" s="121">
        <v>2</v>
      </c>
      <c r="AL138" s="121">
        <f t="shared" si="35"/>
        <v>178</v>
      </c>
      <c r="AM138" s="79">
        <f t="shared" si="33"/>
        <v>1555623702</v>
      </c>
      <c r="AN138" s="121" t="s">
        <v>4649</v>
      </c>
    </row>
    <row r="139" spans="6:43">
      <c r="Q139" s="169">
        <v>48634177</v>
      </c>
      <c r="R139" s="213" t="s">
        <v>5147</v>
      </c>
      <c r="S139" s="213">
        <f>S138-1</f>
        <v>-7</v>
      </c>
      <c r="T139" s="213" t="s">
        <v>5150</v>
      </c>
      <c r="U139" s="213">
        <v>241.4</v>
      </c>
      <c r="V139" s="99">
        <f t="shared" si="34"/>
        <v>243.77299506849317</v>
      </c>
      <c r="W139" s="32">
        <f t="shared" si="36"/>
        <v>248.64845496986305</v>
      </c>
      <c r="X139" s="32">
        <f t="shared" si="37"/>
        <v>253.5239148712329</v>
      </c>
      <c r="AH139" s="121">
        <v>119</v>
      </c>
      <c r="AI139" s="79" t="s">
        <v>4697</v>
      </c>
      <c r="AJ139" s="79">
        <v>17595278</v>
      </c>
      <c r="AK139" s="121">
        <v>1</v>
      </c>
      <c r="AL139" s="121">
        <f t="shared" si="35"/>
        <v>176</v>
      </c>
      <c r="AM139" s="79">
        <f t="shared" si="33"/>
        <v>3096768928</v>
      </c>
      <c r="AN139" s="121" t="s">
        <v>4699</v>
      </c>
      <c r="AQ139" t="s">
        <v>25</v>
      </c>
    </row>
    <row r="140" spans="6:43">
      <c r="P140" s="114" t="s">
        <v>25</v>
      </c>
      <c r="Q140" s="169">
        <v>15280620</v>
      </c>
      <c r="R140" s="213" t="s">
        <v>5148</v>
      </c>
      <c r="S140" s="213">
        <f>S139-3</f>
        <v>-10</v>
      </c>
      <c r="T140" s="213" t="s">
        <v>5152</v>
      </c>
      <c r="U140" s="213">
        <v>237.8</v>
      </c>
      <c r="V140" s="99">
        <f t="shared" si="34"/>
        <v>239.59034082191783</v>
      </c>
      <c r="W140" s="32">
        <f t="shared" si="36"/>
        <v>244.3821476383562</v>
      </c>
      <c r="X140" s="32">
        <f t="shared" si="37"/>
        <v>249.17395445479457</v>
      </c>
      <c r="Z140" t="s">
        <v>25</v>
      </c>
      <c r="AH140" s="121">
        <v>120</v>
      </c>
      <c r="AI140" s="79" t="s">
        <v>4698</v>
      </c>
      <c r="AJ140" s="79">
        <v>13335309</v>
      </c>
      <c r="AK140" s="121">
        <v>13</v>
      </c>
      <c r="AL140" s="121">
        <f t="shared" si="35"/>
        <v>175</v>
      </c>
      <c r="AM140" s="79">
        <f t="shared" si="33"/>
        <v>2333679075</v>
      </c>
      <c r="AN140" s="121" t="s">
        <v>4663</v>
      </c>
    </row>
    <row r="141" spans="6:43">
      <c r="Q141" s="169">
        <v>107962</v>
      </c>
      <c r="R141" s="213" t="s">
        <v>5160</v>
      </c>
      <c r="S141" s="213">
        <f>S140-3</f>
        <v>-13</v>
      </c>
      <c r="T141" s="213" t="s">
        <v>5161</v>
      </c>
      <c r="U141" s="213">
        <v>707</v>
      </c>
      <c r="V141" s="99">
        <f t="shared" si="34"/>
        <v>710.69576986301377</v>
      </c>
      <c r="W141" s="32">
        <f t="shared" si="36"/>
        <v>724.90968526027405</v>
      </c>
      <c r="X141" s="32">
        <f t="shared" si="37"/>
        <v>739.12360065753433</v>
      </c>
      <c r="Y141" t="s">
        <v>25</v>
      </c>
      <c r="AA141" t="s">
        <v>25</v>
      </c>
      <c r="AH141" s="161">
        <v>121</v>
      </c>
      <c r="AI141" s="228" t="s">
        <v>4753</v>
      </c>
      <c r="AJ141" s="228">
        <v>50000000</v>
      </c>
      <c r="AK141" s="161">
        <v>11</v>
      </c>
      <c r="AL141" s="161">
        <f t="shared" si="35"/>
        <v>162</v>
      </c>
      <c r="AM141" s="228">
        <f t="shared" si="33"/>
        <v>8100000000</v>
      </c>
      <c r="AN141" s="161" t="s">
        <v>4755</v>
      </c>
      <c r="AP141" t="s">
        <v>25</v>
      </c>
    </row>
    <row r="142" spans="6:43">
      <c r="F142" t="s">
        <v>4820</v>
      </c>
      <c r="Q142" s="169">
        <v>119160</v>
      </c>
      <c r="R142" s="213" t="s">
        <v>5179</v>
      </c>
      <c r="S142" s="213">
        <f>S141-5</f>
        <v>-18</v>
      </c>
      <c r="T142" s="213" t="s">
        <v>5181</v>
      </c>
      <c r="U142" s="213">
        <v>4090</v>
      </c>
      <c r="V142" s="99">
        <f t="shared" si="34"/>
        <v>4095.6923835616444</v>
      </c>
      <c r="W142" s="32">
        <f t="shared" si="36"/>
        <v>4177.6062312328777</v>
      </c>
      <c r="X142" s="32">
        <f t="shared" si="37"/>
        <v>4259.5200789041101</v>
      </c>
      <c r="Y142" t="s">
        <v>25</v>
      </c>
      <c r="AH142" s="20">
        <v>122</v>
      </c>
      <c r="AI142" s="117" t="s">
        <v>973</v>
      </c>
      <c r="AJ142" s="117">
        <v>30000</v>
      </c>
      <c r="AK142" s="20">
        <v>3</v>
      </c>
      <c r="AL142" s="20">
        <f t="shared" si="35"/>
        <v>151</v>
      </c>
      <c r="AM142" s="117">
        <f t="shared" si="33"/>
        <v>4530000</v>
      </c>
      <c r="AN142" s="20"/>
    </row>
    <row r="143" spans="6:43">
      <c r="G143">
        <v>1200</v>
      </c>
      <c r="H143" t="s">
        <v>4821</v>
      </c>
      <c r="Q143" s="169">
        <v>209998</v>
      </c>
      <c r="R143" s="213" t="s">
        <v>5168</v>
      </c>
      <c r="S143" s="213">
        <f>S142-6</f>
        <v>-24</v>
      </c>
      <c r="T143" s="213" t="s">
        <v>5191</v>
      </c>
      <c r="U143" s="213">
        <v>1850</v>
      </c>
      <c r="V143" s="99">
        <f t="shared" si="34"/>
        <v>1844.0597260273973</v>
      </c>
      <c r="W143" s="32">
        <f t="shared" si="36"/>
        <v>1880.9409205479453</v>
      </c>
      <c r="X143" s="32">
        <f t="shared" si="37"/>
        <v>1917.8221150684933</v>
      </c>
      <c r="Y143" t="s">
        <v>25</v>
      </c>
      <c r="AH143" s="20">
        <v>123</v>
      </c>
      <c r="AI143" s="117" t="s">
        <v>4817</v>
      </c>
      <c r="AJ143" s="117">
        <v>600000</v>
      </c>
      <c r="AK143" s="20">
        <v>1</v>
      </c>
      <c r="AL143" s="20">
        <f t="shared" si="35"/>
        <v>148</v>
      </c>
      <c r="AM143" s="117">
        <f t="shared" si="33"/>
        <v>88800000</v>
      </c>
      <c r="AN143" s="20"/>
    </row>
    <row r="144" spans="6:43">
      <c r="G144">
        <v>1350</v>
      </c>
      <c r="H144" t="s">
        <v>4822</v>
      </c>
      <c r="Q144" s="169"/>
      <c r="R144" s="168"/>
      <c r="S144" s="168"/>
      <c r="T144" s="168"/>
      <c r="U144" s="168"/>
      <c r="V144" s="99">
        <f t="shared" si="34"/>
        <v>0</v>
      </c>
      <c r="W144" s="32">
        <f t="shared" si="28"/>
        <v>0</v>
      </c>
      <c r="X144" s="32">
        <f t="shared" si="29"/>
        <v>0</v>
      </c>
      <c r="Y144" t="s">
        <v>25</v>
      </c>
      <c r="AH144" s="20">
        <v>124</v>
      </c>
      <c r="AI144" s="117" t="s">
        <v>4824</v>
      </c>
      <c r="AJ144" s="117">
        <v>30000</v>
      </c>
      <c r="AK144" s="20">
        <v>3</v>
      </c>
      <c r="AL144" s="20">
        <f t="shared" si="35"/>
        <v>147</v>
      </c>
      <c r="AM144" s="117">
        <f t="shared" si="33"/>
        <v>4410000</v>
      </c>
      <c r="AN144" s="20"/>
    </row>
    <row r="145" spans="7:44">
      <c r="G145">
        <v>1050</v>
      </c>
      <c r="H145" t="s">
        <v>4823</v>
      </c>
      <c r="Q145" s="113">
        <f>SUM(N42:N47)-SUM(Q95:Q144)</f>
        <v>153413570.70000005</v>
      </c>
      <c r="R145" s="112"/>
      <c r="S145" s="112"/>
      <c r="T145" s="112"/>
      <c r="U145" s="168"/>
      <c r="V145" s="99" t="s">
        <v>25</v>
      </c>
      <c r="W145" s="32"/>
      <c r="X145" s="32"/>
      <c r="Y145" s="122" t="s">
        <v>25</v>
      </c>
      <c r="AH145" s="20">
        <v>125</v>
      </c>
      <c r="AI145" s="117" t="s">
        <v>4831</v>
      </c>
      <c r="AJ145" s="117">
        <v>2250000</v>
      </c>
      <c r="AK145" s="20">
        <v>1</v>
      </c>
      <c r="AL145" s="20">
        <f t="shared" si="35"/>
        <v>144</v>
      </c>
      <c r="AM145" s="117">
        <f t="shared" ref="AM145:AM147" si="38">AJ145*AL145</f>
        <v>324000000</v>
      </c>
      <c r="AN145" s="20"/>
      <c r="AR145" t="s">
        <v>25</v>
      </c>
    </row>
    <row r="146" spans="7:44">
      <c r="Q146" s="26"/>
      <c r="R146" s="181"/>
      <c r="S146" s="181"/>
      <c r="T146" t="s">
        <v>25</v>
      </c>
      <c r="U146" s="96" t="s">
        <v>25</v>
      </c>
      <c r="V146" s="96" t="s">
        <v>25</v>
      </c>
      <c r="W146" s="96" t="s">
        <v>25</v>
      </c>
      <c r="AH146" s="23">
        <v>126</v>
      </c>
      <c r="AI146" s="35" t="s">
        <v>4836</v>
      </c>
      <c r="AJ146" s="35">
        <v>-31412200</v>
      </c>
      <c r="AK146" s="23">
        <v>1</v>
      </c>
      <c r="AL146" s="20">
        <f t="shared" si="35"/>
        <v>143</v>
      </c>
      <c r="AM146" s="35">
        <f t="shared" si="38"/>
        <v>-4491944600</v>
      </c>
      <c r="AN146" s="23" t="s">
        <v>4819</v>
      </c>
    </row>
    <row r="147" spans="7:44">
      <c r="R147" s="32" t="s">
        <v>4566</v>
      </c>
      <c r="S147" s="32" t="s">
        <v>949</v>
      </c>
      <c r="T147" t="s">
        <v>25</v>
      </c>
      <c r="U147" s="96" t="s">
        <v>25</v>
      </c>
      <c r="V147" s="96" t="s">
        <v>25</v>
      </c>
      <c r="W147" s="96" t="s">
        <v>25</v>
      </c>
      <c r="X147" s="122" t="s">
        <v>25</v>
      </c>
      <c r="Z147" s="96"/>
      <c r="AH147" s="20">
        <v>127</v>
      </c>
      <c r="AI147" s="117" t="s">
        <v>4845</v>
      </c>
      <c r="AJ147" s="117">
        <v>70000</v>
      </c>
      <c r="AK147" s="20">
        <v>9</v>
      </c>
      <c r="AL147" s="20">
        <f t="shared" si="35"/>
        <v>142</v>
      </c>
      <c r="AM147" s="117">
        <f t="shared" si="38"/>
        <v>9940000</v>
      </c>
      <c r="AN147" s="20"/>
    </row>
    <row r="148" spans="7:44">
      <c r="R148" s="32">
        <v>9081</v>
      </c>
      <c r="S148" s="234">
        <v>4394591</v>
      </c>
      <c r="U148" s="96" t="s">
        <v>25</v>
      </c>
      <c r="V148" s="122" t="s">
        <v>25</v>
      </c>
      <c r="W148" s="96" t="s">
        <v>25</v>
      </c>
      <c r="X148" t="s">
        <v>25</v>
      </c>
      <c r="Z148" s="96"/>
      <c r="AH148" s="99">
        <v>128</v>
      </c>
      <c r="AI148" s="113" t="s">
        <v>4853</v>
      </c>
      <c r="AJ148" s="113">
        <v>20000</v>
      </c>
      <c r="AK148" s="99">
        <v>10</v>
      </c>
      <c r="AL148" s="20">
        <f t="shared" si="35"/>
        <v>133</v>
      </c>
      <c r="AM148" s="117">
        <f t="shared" ref="AM148:AM149" si="39">AJ148*AL148</f>
        <v>2660000</v>
      </c>
      <c r="AN148" s="20"/>
      <c r="AP148" t="s">
        <v>25</v>
      </c>
    </row>
    <row r="149" spans="7:44">
      <c r="Q149" t="s">
        <v>25</v>
      </c>
      <c r="R149" s="32">
        <v>809</v>
      </c>
      <c r="S149" s="1">
        <f>S148*R149/R148</f>
        <v>391501.38960466906</v>
      </c>
      <c r="U149" s="96" t="s">
        <v>25</v>
      </c>
      <c r="V149" s="122" t="s">
        <v>25</v>
      </c>
      <c r="W149" s="96" t="s">
        <v>25</v>
      </c>
      <c r="X149" t="s">
        <v>25</v>
      </c>
      <c r="Z149" s="96"/>
      <c r="AH149" s="99">
        <v>129</v>
      </c>
      <c r="AI149" s="113" t="s">
        <v>4873</v>
      </c>
      <c r="AJ149" s="113">
        <v>1000000</v>
      </c>
      <c r="AK149" s="99">
        <v>1</v>
      </c>
      <c r="AL149" s="20">
        <f t="shared" si="35"/>
        <v>123</v>
      </c>
      <c r="AM149" s="117">
        <f t="shared" si="39"/>
        <v>123000000</v>
      </c>
      <c r="AN149" s="20"/>
    </row>
    <row r="150" spans="7:44">
      <c r="R150" s="32">
        <f>R148-R149</f>
        <v>8272</v>
      </c>
      <c r="S150" s="1">
        <f>R150*S148/R148</f>
        <v>4003089.6103953309</v>
      </c>
      <c r="T150" t="s">
        <v>25</v>
      </c>
      <c r="U150" s="122" t="s">
        <v>25</v>
      </c>
      <c r="V150" s="96"/>
      <c r="W150"/>
      <c r="X150" t="s">
        <v>25</v>
      </c>
      <c r="Y150" t="s">
        <v>25</v>
      </c>
      <c r="Z150" s="96"/>
      <c r="AA150" s="114"/>
      <c r="AC150" s="114"/>
      <c r="AD150" s="114"/>
      <c r="AH150" s="99">
        <v>130</v>
      </c>
      <c r="AI150" s="113" t="s">
        <v>4874</v>
      </c>
      <c r="AJ150" s="113">
        <v>65630227</v>
      </c>
      <c r="AK150" s="99">
        <v>0</v>
      </c>
      <c r="AL150" s="20">
        <f t="shared" si="35"/>
        <v>122</v>
      </c>
      <c r="AM150" s="117">
        <f t="shared" ref="AM150:AM177" si="40">AJ150*AL150</f>
        <v>8006887694</v>
      </c>
      <c r="AN150" s="20" t="s">
        <v>4878</v>
      </c>
      <c r="AP150" t="s">
        <v>25</v>
      </c>
      <c r="AR150" t="s">
        <v>25</v>
      </c>
    </row>
    <row r="151" spans="7:44">
      <c r="V151" s="96"/>
      <c r="W151"/>
      <c r="X151" t="s">
        <v>25</v>
      </c>
      <c r="Z151" s="96"/>
      <c r="AA151" s="114"/>
      <c r="AC151" s="114"/>
      <c r="AH151" s="99">
        <v>131</v>
      </c>
      <c r="AI151" s="113" t="s">
        <v>4874</v>
      </c>
      <c r="AJ151" s="113">
        <v>-3500000</v>
      </c>
      <c r="AK151" s="99">
        <v>6</v>
      </c>
      <c r="AL151" s="20">
        <f t="shared" si="35"/>
        <v>122</v>
      </c>
      <c r="AM151" s="117">
        <f t="shared" si="40"/>
        <v>-427000000</v>
      </c>
      <c r="AN151" s="20" t="s">
        <v>4877</v>
      </c>
    </row>
    <row r="152" spans="7:44">
      <c r="P152">
        <f>R156+1924</f>
        <v>1605730</v>
      </c>
      <c r="Q152" s="99" t="s">
        <v>4456</v>
      </c>
      <c r="R152" s="99" t="s">
        <v>4458</v>
      </c>
      <c r="S152" s="99"/>
      <c r="T152" s="99" t="s">
        <v>4459</v>
      </c>
      <c r="U152" s="99"/>
      <c r="V152" s="99"/>
      <c r="W152" s="99" t="s">
        <v>4569</v>
      </c>
      <c r="Y152" t="s">
        <v>25</v>
      </c>
      <c r="Z152" s="96"/>
      <c r="AA152" s="114"/>
      <c r="AC152" s="114"/>
      <c r="AD152" s="114"/>
      <c r="AH152" s="99">
        <v>132</v>
      </c>
      <c r="AI152" s="113" t="s">
        <v>4889</v>
      </c>
      <c r="AJ152" s="113">
        <v>2520000</v>
      </c>
      <c r="AK152" s="99">
        <v>12</v>
      </c>
      <c r="AL152" s="20">
        <f t="shared" si="35"/>
        <v>116</v>
      </c>
      <c r="AM152" s="117">
        <f t="shared" si="40"/>
        <v>292320000</v>
      </c>
      <c r="AN152" s="20"/>
    </row>
    <row r="153" spans="7:44">
      <c r="P153" s="114"/>
      <c r="Q153" s="113">
        <v>1000</v>
      </c>
      <c r="R153" s="99">
        <v>0.25</v>
      </c>
      <c r="S153" s="99"/>
      <c r="T153" s="99">
        <f>1-R153</f>
        <v>0.75</v>
      </c>
      <c r="U153" s="99"/>
      <c r="V153" s="99"/>
      <c r="W153" s="99"/>
      <c r="Y153" s="96"/>
      <c r="Z153" s="96"/>
      <c r="AH153" s="99">
        <v>133</v>
      </c>
      <c r="AI153" s="113" t="s">
        <v>4925</v>
      </c>
      <c r="AJ153" s="113">
        <v>1400000</v>
      </c>
      <c r="AK153" s="99">
        <v>4</v>
      </c>
      <c r="AL153" s="20">
        <f t="shared" si="35"/>
        <v>104</v>
      </c>
      <c r="AM153" s="117">
        <f t="shared" si="40"/>
        <v>145600000</v>
      </c>
      <c r="AN153" s="20"/>
    </row>
    <row r="154" spans="7:44">
      <c r="P154" s="114"/>
      <c r="Q154" s="168" t="s">
        <v>4443</v>
      </c>
      <c r="R154" s="168" t="s">
        <v>4461</v>
      </c>
      <c r="S154" s="168" t="s">
        <v>4463</v>
      </c>
      <c r="T154" s="168"/>
      <c r="U154" s="168" t="s">
        <v>4457</v>
      </c>
      <c r="V154" s="56" t="s">
        <v>4460</v>
      </c>
      <c r="W154" s="99"/>
      <c r="X154" s="115"/>
      <c r="Y154" s="96"/>
      <c r="Z154" s="96"/>
      <c r="AH154" s="99">
        <v>134</v>
      </c>
      <c r="AI154" s="113" t="s">
        <v>4950</v>
      </c>
      <c r="AJ154" s="113">
        <v>1550000</v>
      </c>
      <c r="AK154" s="99">
        <v>2</v>
      </c>
      <c r="AL154" s="20">
        <f t="shared" si="35"/>
        <v>100</v>
      </c>
      <c r="AM154" s="117">
        <f t="shared" si="40"/>
        <v>155000000</v>
      </c>
      <c r="AN154" s="20"/>
    </row>
    <row r="155" spans="7:44">
      <c r="P155" s="114"/>
      <c r="Q155" s="168" t="s">
        <v>751</v>
      </c>
      <c r="R155" s="56">
        <v>1750046</v>
      </c>
      <c r="S155" s="113">
        <f>R155*$T$269</f>
        <v>686292620.25992537</v>
      </c>
      <c r="T155" s="168"/>
      <c r="U155" s="168">
        <f>$Q$153*$T$153*S155/$R$182</f>
        <v>364.22403865418522</v>
      </c>
      <c r="V155" s="95">
        <f>S155+U155</f>
        <v>686292984.48396397</v>
      </c>
      <c r="W155" s="99">
        <f>R155*100/U266</f>
        <v>48.563205153891367</v>
      </c>
      <c r="X155" s="217"/>
      <c r="Y155" s="96"/>
      <c r="Z155" s="96"/>
      <c r="AH155" s="99">
        <v>135</v>
      </c>
      <c r="AI155" s="113" t="s">
        <v>4897</v>
      </c>
      <c r="AJ155" s="113">
        <v>250000</v>
      </c>
      <c r="AK155" s="99">
        <v>6</v>
      </c>
      <c r="AL155" s="20">
        <f t="shared" si="35"/>
        <v>98</v>
      </c>
      <c r="AM155" s="117">
        <f t="shared" si="40"/>
        <v>24500000</v>
      </c>
      <c r="AN155" s="20"/>
    </row>
    <row r="156" spans="7:44">
      <c r="Q156" s="168" t="s">
        <v>4445</v>
      </c>
      <c r="R156" s="56">
        <v>1603806</v>
      </c>
      <c r="S156" s="113">
        <f>R156*$T$269</f>
        <v>628943594.6989907</v>
      </c>
      <c r="T156" s="168"/>
      <c r="U156" s="213">
        <f>$Q$153*$T$153*S156/$R$182</f>
        <v>333.78819673186547</v>
      </c>
      <c r="V156" s="95">
        <f t="shared" ref="V156:V157" si="41">S156+U156</f>
        <v>628943928.48718739</v>
      </c>
      <c r="W156" s="99">
        <f>R156*100/U266</f>
        <v>44.50509289758206</v>
      </c>
      <c r="X156" s="115"/>
      <c r="Y156" s="122" t="s">
        <v>25</v>
      </c>
      <c r="Z156" s="96"/>
      <c r="AH156" s="99">
        <v>136</v>
      </c>
      <c r="AI156" s="113" t="s">
        <v>4960</v>
      </c>
      <c r="AJ156" s="113">
        <v>-48527480</v>
      </c>
      <c r="AK156" s="99">
        <v>14</v>
      </c>
      <c r="AL156" s="20">
        <f t="shared" si="35"/>
        <v>92</v>
      </c>
      <c r="AM156" s="117">
        <f t="shared" si="40"/>
        <v>-4464528160</v>
      </c>
      <c r="AN156" s="20" t="s">
        <v>4962</v>
      </c>
    </row>
    <row r="157" spans="7:44">
      <c r="Q157" s="168" t="s">
        <v>4444</v>
      </c>
      <c r="R157" s="56">
        <v>52617</v>
      </c>
      <c r="S157" s="113">
        <f>R157*$T$269</f>
        <v>20634119.788974971</v>
      </c>
      <c r="T157" s="168"/>
      <c r="U157" s="213">
        <f>$Q$153*$T$153*S157/$R$182</f>
        <v>10.95078428902284</v>
      </c>
      <c r="V157" s="95">
        <f t="shared" si="41"/>
        <v>20634130.739759259</v>
      </c>
      <c r="W157" s="99">
        <f>R157*100/U266</f>
        <v>1.4601045718697119</v>
      </c>
      <c r="X157" s="115"/>
      <c r="Y157" s="96"/>
      <c r="Z157" s="96"/>
      <c r="AH157" s="99">
        <v>137</v>
      </c>
      <c r="AI157" s="113" t="s">
        <v>4988</v>
      </c>
      <c r="AJ157" s="113">
        <v>2100000</v>
      </c>
      <c r="AK157" s="99">
        <v>1</v>
      </c>
      <c r="AL157" s="20">
        <f t="shared" si="35"/>
        <v>78</v>
      </c>
      <c r="AM157" s="117">
        <f t="shared" si="40"/>
        <v>163800000</v>
      </c>
      <c r="AN157" s="20"/>
    </row>
    <row r="158" spans="7:44">
      <c r="Q158" s="168" t="s">
        <v>1086</v>
      </c>
      <c r="R158" s="56">
        <v>197177</v>
      </c>
      <c r="S158" s="113">
        <f>R158*$T$269</f>
        <v>77324321.752108976</v>
      </c>
      <c r="T158" s="168"/>
      <c r="U158" s="213">
        <f>$Q$153*$T$153*S158/$R$182</f>
        <v>41.036980324926482</v>
      </c>
      <c r="V158" s="95">
        <f>S158+U158</f>
        <v>77324362.789089307</v>
      </c>
      <c r="W158" s="99">
        <f>R158*100/U266</f>
        <v>5.471597376656864</v>
      </c>
      <c r="X158" s="115"/>
      <c r="Y158" s="96"/>
      <c r="Z158" s="96"/>
      <c r="AH158" s="99">
        <v>138</v>
      </c>
      <c r="AI158" s="113" t="s">
        <v>4993</v>
      </c>
      <c r="AJ158" s="113">
        <v>100000</v>
      </c>
      <c r="AK158" s="99">
        <v>4</v>
      </c>
      <c r="AL158" s="20">
        <f>AL159+AK158</f>
        <v>77</v>
      </c>
      <c r="AM158" s="117">
        <f t="shared" si="40"/>
        <v>7700000</v>
      </c>
      <c r="AN158" s="20"/>
      <c r="AQ158" t="s">
        <v>25</v>
      </c>
    </row>
    <row r="159" spans="7:44">
      <c r="P159" s="114"/>
      <c r="Q159" s="168"/>
      <c r="R159" s="56"/>
      <c r="S159" s="168"/>
      <c r="T159" s="168"/>
      <c r="U159" s="168"/>
      <c r="V159" s="168"/>
      <c r="W159" s="99"/>
      <c r="X159" s="96"/>
      <c r="Y159" s="96"/>
      <c r="Z159" s="96"/>
      <c r="AH159" s="99">
        <v>139</v>
      </c>
      <c r="AI159" s="113" t="s">
        <v>5000</v>
      </c>
      <c r="AJ159" s="113">
        <v>900000</v>
      </c>
      <c r="AK159" s="99">
        <v>0</v>
      </c>
      <c r="AL159" s="20">
        <f t="shared" ref="AL159:AL168" si="42">AL160+AK159</f>
        <v>73</v>
      </c>
      <c r="AM159" s="117">
        <f t="shared" ref="AM159:AM168" si="43">AJ159*AL159</f>
        <v>65700000</v>
      </c>
      <c r="AN159" s="20"/>
      <c r="AP159" t="s">
        <v>25</v>
      </c>
    </row>
    <row r="160" spans="7:44">
      <c r="Q160" s="168"/>
      <c r="R160" s="168"/>
      <c r="S160" s="168"/>
      <c r="T160" s="168"/>
      <c r="U160" s="168"/>
      <c r="V160" s="168"/>
      <c r="W160" s="99"/>
      <c r="X160" s="96"/>
      <c r="Y160" s="96"/>
      <c r="AH160" s="99">
        <v>140</v>
      </c>
      <c r="AI160" s="113" t="s">
        <v>5000</v>
      </c>
      <c r="AJ160" s="113">
        <v>1100000</v>
      </c>
      <c r="AK160" s="99">
        <v>0</v>
      </c>
      <c r="AL160" s="20">
        <f t="shared" si="42"/>
        <v>73</v>
      </c>
      <c r="AM160" s="117">
        <f t="shared" si="43"/>
        <v>80300000</v>
      </c>
      <c r="AN160" s="20" t="s">
        <v>5020</v>
      </c>
      <c r="AQ160" t="s">
        <v>25</v>
      </c>
    </row>
    <row r="161" spans="15:43">
      <c r="P161" s="114"/>
      <c r="Q161" s="99"/>
      <c r="R161" s="99"/>
      <c r="S161" s="99"/>
      <c r="T161" s="99" t="s">
        <v>25</v>
      </c>
      <c r="U161" s="99"/>
      <c r="V161" s="99"/>
      <c r="W161" s="99"/>
      <c r="X161" s="96"/>
      <c r="Y161" s="96"/>
      <c r="AH161" s="99">
        <v>141</v>
      </c>
      <c r="AI161" s="113" t="s">
        <v>5000</v>
      </c>
      <c r="AJ161" s="113">
        <v>115000</v>
      </c>
      <c r="AK161" s="99"/>
      <c r="AL161" s="20">
        <f t="shared" si="42"/>
        <v>73</v>
      </c>
      <c r="AM161" s="117">
        <f t="shared" si="43"/>
        <v>8395000</v>
      </c>
      <c r="AN161" s="20"/>
      <c r="AQ161" t="s">
        <v>25</v>
      </c>
    </row>
    <row r="162" spans="15:43">
      <c r="O162" s="96"/>
      <c r="Q162" s="99"/>
      <c r="R162" s="99"/>
      <c r="S162" s="99"/>
      <c r="T162" s="99"/>
      <c r="U162" s="99"/>
      <c r="V162" s="99"/>
      <c r="W162" s="99"/>
      <c r="X162" s="96"/>
      <c r="Y162" s="96"/>
      <c r="AH162" s="99">
        <v>142</v>
      </c>
      <c r="AI162" s="113" t="s">
        <v>5010</v>
      </c>
      <c r="AJ162" s="113">
        <v>-1100000</v>
      </c>
      <c r="AK162" s="99"/>
      <c r="AL162" s="20">
        <f t="shared" si="42"/>
        <v>73</v>
      </c>
      <c r="AM162" s="117">
        <f t="shared" si="43"/>
        <v>-80300000</v>
      </c>
      <c r="AN162" s="20" t="s">
        <v>5021</v>
      </c>
      <c r="AQ162" t="s">
        <v>25</v>
      </c>
    </row>
    <row r="163" spans="15:43">
      <c r="O163" s="96"/>
      <c r="Q163" s="99"/>
      <c r="R163" s="99"/>
      <c r="S163" s="99"/>
      <c r="T163" s="99"/>
      <c r="U163" s="99"/>
      <c r="V163" s="99"/>
      <c r="W163" s="99"/>
      <c r="X163" s="96"/>
      <c r="Y163" s="96"/>
      <c r="AH163" s="99">
        <v>143</v>
      </c>
      <c r="AI163" s="113" t="s">
        <v>5010</v>
      </c>
      <c r="AJ163" s="113">
        <v>900000</v>
      </c>
      <c r="AK163" s="99">
        <v>1</v>
      </c>
      <c r="AL163" s="20">
        <f t="shared" si="42"/>
        <v>73</v>
      </c>
      <c r="AM163" s="117">
        <f t="shared" si="43"/>
        <v>65700000</v>
      </c>
      <c r="AN163" s="20" t="s">
        <v>5020</v>
      </c>
    </row>
    <row r="164" spans="15:43">
      <c r="Q164" s="96"/>
      <c r="R164" s="96"/>
      <c r="S164" s="96"/>
      <c r="T164" s="96"/>
      <c r="V164" s="96"/>
      <c r="X164" s="115"/>
      <c r="Y164" s="96"/>
      <c r="AH164" s="99">
        <v>144</v>
      </c>
      <c r="AI164" s="113" t="s">
        <v>5018</v>
      </c>
      <c r="AJ164" s="113">
        <v>2000000</v>
      </c>
      <c r="AK164" s="99">
        <v>0</v>
      </c>
      <c r="AL164" s="20">
        <f t="shared" si="42"/>
        <v>72</v>
      </c>
      <c r="AM164" s="117">
        <f t="shared" si="43"/>
        <v>144000000</v>
      </c>
      <c r="AN164" s="20"/>
    </row>
    <row r="165" spans="15:43">
      <c r="Q165" s="99" t="s">
        <v>5056</v>
      </c>
      <c r="R165" s="95">
        <f>S155-R170</f>
        <v>173693085.75992537</v>
      </c>
      <c r="S165" s="96"/>
      <c r="T165" s="96"/>
      <c r="V165" s="96"/>
      <c r="Y165" s="96"/>
      <c r="AH165" s="99">
        <v>145</v>
      </c>
      <c r="AI165" s="113" t="s">
        <v>5018</v>
      </c>
      <c r="AJ165" s="113">
        <v>360000</v>
      </c>
      <c r="AK165" s="99">
        <v>1</v>
      </c>
      <c r="AL165" s="20">
        <f t="shared" si="42"/>
        <v>72</v>
      </c>
      <c r="AM165" s="117">
        <f t="shared" si="43"/>
        <v>25920000</v>
      </c>
      <c r="AN165" s="20"/>
    </row>
    <row r="166" spans="15:43">
      <c r="Q166" s="99" t="s">
        <v>5057</v>
      </c>
      <c r="R166" s="95">
        <f>S158+S157-R171</f>
        <v>11527930.24108395</v>
      </c>
      <c r="S166" s="96"/>
      <c r="T166" s="96" t="s">
        <v>25</v>
      </c>
      <c r="V166" s="96"/>
      <c r="Y166" t="s">
        <v>25</v>
      </c>
      <c r="AH166" s="99">
        <v>146</v>
      </c>
      <c r="AI166" s="113" t="s">
        <v>5019</v>
      </c>
      <c r="AJ166" s="113">
        <v>3000000</v>
      </c>
      <c r="AK166" s="99">
        <v>1</v>
      </c>
      <c r="AL166" s="20">
        <f t="shared" si="42"/>
        <v>71</v>
      </c>
      <c r="AM166" s="117">
        <f t="shared" si="43"/>
        <v>213000000</v>
      </c>
      <c r="AN166" s="20"/>
    </row>
    <row r="167" spans="15:43">
      <c r="Q167" s="96"/>
      <c r="R167" s="96"/>
      <c r="S167" s="96"/>
      <c r="T167" s="96"/>
      <c r="V167" s="96"/>
      <c r="AH167" s="99">
        <v>147</v>
      </c>
      <c r="AI167" s="113" t="s">
        <v>5015</v>
      </c>
      <c r="AJ167" s="113">
        <v>-658226</v>
      </c>
      <c r="AK167" s="99">
        <v>1</v>
      </c>
      <c r="AL167" s="20">
        <f t="shared" si="42"/>
        <v>70</v>
      </c>
      <c r="AM167" s="117">
        <f t="shared" si="43"/>
        <v>-46075820</v>
      </c>
      <c r="AN167" s="20"/>
    </row>
    <row r="168" spans="15:43">
      <c r="Q168" s="96"/>
      <c r="R168" s="96"/>
      <c r="S168" s="96"/>
      <c r="T168" s="99" t="s">
        <v>180</v>
      </c>
      <c r="U168" s="99" t="s">
        <v>4479</v>
      </c>
      <c r="V168" s="99" t="s">
        <v>4480</v>
      </c>
      <c r="W168" s="99" t="s">
        <v>4490</v>
      </c>
      <c r="X168" s="99" t="s">
        <v>8</v>
      </c>
      <c r="Y168" t="s">
        <v>25</v>
      </c>
      <c r="AH168" s="99">
        <v>148</v>
      </c>
      <c r="AI168" s="113" t="s">
        <v>5022</v>
      </c>
      <c r="AJ168" s="113">
        <v>1000000</v>
      </c>
      <c r="AK168" s="99">
        <v>15</v>
      </c>
      <c r="AL168" s="20">
        <f t="shared" si="42"/>
        <v>69</v>
      </c>
      <c r="AM168" s="117">
        <f t="shared" si="43"/>
        <v>69000000</v>
      </c>
      <c r="AN168" s="20"/>
      <c r="AP168" t="s">
        <v>25</v>
      </c>
    </row>
    <row r="169" spans="15:43">
      <c r="Q169" s="36" t="s">
        <v>4565</v>
      </c>
      <c r="R169" s="95">
        <f>SUM(N42:N47)</f>
        <v>813353888.70000005</v>
      </c>
      <c r="T169" s="113" t="s">
        <v>4455</v>
      </c>
      <c r="U169" s="56">
        <v>1000000</v>
      </c>
      <c r="V169" s="113">
        <v>239.024</v>
      </c>
      <c r="W169" s="113">
        <f t="shared" ref="W169:W264" si="44">U169*V169</f>
        <v>239024000</v>
      </c>
      <c r="X169" s="99"/>
      <c r="AH169" s="99">
        <v>149</v>
      </c>
      <c r="AI169" s="113" t="s">
        <v>5062</v>
      </c>
      <c r="AJ169" s="113">
        <v>1130250</v>
      </c>
      <c r="AK169" s="99">
        <v>5</v>
      </c>
      <c r="AL169" s="20">
        <f t="shared" si="35"/>
        <v>54</v>
      </c>
      <c r="AM169" s="117">
        <f t="shared" si="40"/>
        <v>61033500</v>
      </c>
      <c r="AN169" s="20"/>
    </row>
    <row r="170" spans="15:43">
      <c r="Q170" s="99" t="s">
        <v>4446</v>
      </c>
      <c r="R170" s="95">
        <f>SUM(N21:N24)</f>
        <v>512599534.5</v>
      </c>
      <c r="T170" s="168" t="s">
        <v>4437</v>
      </c>
      <c r="U170" s="56">
        <v>5904</v>
      </c>
      <c r="V170" s="113">
        <v>237.148</v>
      </c>
      <c r="W170" s="113">
        <f t="shared" si="44"/>
        <v>1400121.7919999999</v>
      </c>
      <c r="X170" s="99" t="s">
        <v>751</v>
      </c>
      <c r="Y170" t="s">
        <v>25</v>
      </c>
      <c r="AE170" s="96" t="s">
        <v>25</v>
      </c>
      <c r="AH170" s="99">
        <v>150</v>
      </c>
      <c r="AI170" s="113" t="s">
        <v>5078</v>
      </c>
      <c r="AJ170" s="113">
        <v>206000</v>
      </c>
      <c r="AK170" s="99">
        <v>2</v>
      </c>
      <c r="AL170" s="20">
        <f t="shared" si="35"/>
        <v>49</v>
      </c>
      <c r="AM170" s="117">
        <f t="shared" si="40"/>
        <v>10094000</v>
      </c>
      <c r="AN170" s="20"/>
    </row>
    <row r="171" spans="15:43">
      <c r="Q171" s="99" t="s">
        <v>4447</v>
      </c>
      <c r="R171" s="95">
        <f>SUM(N27:N29)</f>
        <v>86430511.299999997</v>
      </c>
      <c r="T171" s="168" t="s">
        <v>4230</v>
      </c>
      <c r="U171" s="168">
        <v>1000</v>
      </c>
      <c r="V171" s="113">
        <v>247.393</v>
      </c>
      <c r="W171" s="113">
        <f t="shared" si="44"/>
        <v>247393</v>
      </c>
      <c r="X171" s="99" t="s">
        <v>751</v>
      </c>
      <c r="AH171" s="99">
        <v>151</v>
      </c>
      <c r="AI171" s="113" t="s">
        <v>5085</v>
      </c>
      <c r="AJ171" s="113">
        <v>50000</v>
      </c>
      <c r="AK171" s="99">
        <v>2</v>
      </c>
      <c r="AL171" s="20">
        <f t="shared" si="35"/>
        <v>47</v>
      </c>
      <c r="AM171" s="117">
        <f t="shared" si="40"/>
        <v>2350000</v>
      </c>
      <c r="AN171" s="20"/>
    </row>
    <row r="172" spans="15:43">
      <c r="Q172" s="99" t="s">
        <v>4448</v>
      </c>
      <c r="R172" s="95">
        <f>N40</f>
        <v>40537</v>
      </c>
      <c r="T172" s="168" t="s">
        <v>4491</v>
      </c>
      <c r="U172" s="168">
        <v>8071</v>
      </c>
      <c r="V172" s="113">
        <v>247.797</v>
      </c>
      <c r="W172" s="113">
        <f t="shared" si="44"/>
        <v>1999969.5870000001</v>
      </c>
      <c r="X172" s="99" t="s">
        <v>4444</v>
      </c>
      <c r="AH172" s="99">
        <v>152</v>
      </c>
      <c r="AI172" s="113" t="s">
        <v>5092</v>
      </c>
      <c r="AJ172" s="113">
        <v>105000</v>
      </c>
      <c r="AK172" s="99">
        <v>4</v>
      </c>
      <c r="AL172" s="20">
        <f t="shared" si="35"/>
        <v>45</v>
      </c>
      <c r="AM172" s="117">
        <f t="shared" si="40"/>
        <v>4725000</v>
      </c>
      <c r="AN172" s="20"/>
    </row>
    <row r="173" spans="15:43">
      <c r="Q173" s="99" t="s">
        <v>4449</v>
      </c>
      <c r="R173" s="95">
        <f>N20</f>
        <v>40069</v>
      </c>
      <c r="T173" s="168" t="s">
        <v>4491</v>
      </c>
      <c r="U173" s="168">
        <v>53672</v>
      </c>
      <c r="V173" s="113">
        <v>247.797</v>
      </c>
      <c r="W173" s="113">
        <f t="shared" si="44"/>
        <v>13299760.584000001</v>
      </c>
      <c r="X173" s="99" t="s">
        <v>452</v>
      </c>
      <c r="AH173" s="99">
        <v>153</v>
      </c>
      <c r="AI173" s="113" t="s">
        <v>5097</v>
      </c>
      <c r="AJ173" s="113">
        <v>5000000</v>
      </c>
      <c r="AK173" s="99">
        <v>1</v>
      </c>
      <c r="AL173" s="20">
        <f t="shared" si="35"/>
        <v>41</v>
      </c>
      <c r="AM173" s="117">
        <f t="shared" si="40"/>
        <v>205000000</v>
      </c>
      <c r="AN173" s="20"/>
    </row>
    <row r="174" spans="15:43">
      <c r="Q174" s="99" t="s">
        <v>4450</v>
      </c>
      <c r="R174" s="95">
        <f>N26</f>
        <v>35616</v>
      </c>
      <c r="T174" s="168" t="s">
        <v>4499</v>
      </c>
      <c r="U174" s="168">
        <v>4099</v>
      </c>
      <c r="V174" s="113">
        <v>243.93</v>
      </c>
      <c r="W174" s="113">
        <f t="shared" si="44"/>
        <v>999869.07000000007</v>
      </c>
      <c r="X174" s="99" t="s">
        <v>4444</v>
      </c>
      <c r="AH174" s="99">
        <v>154</v>
      </c>
      <c r="AI174" s="113" t="s">
        <v>5100</v>
      </c>
      <c r="AJ174" s="113">
        <v>2500000</v>
      </c>
      <c r="AK174" s="99">
        <v>2</v>
      </c>
      <c r="AL174" s="20">
        <f t="shared" si="35"/>
        <v>40</v>
      </c>
      <c r="AM174" s="117">
        <f t="shared" si="40"/>
        <v>100000000</v>
      </c>
      <c r="AN174" s="20"/>
    </row>
    <row r="175" spans="15:43">
      <c r="Q175" s="99" t="s">
        <v>4462</v>
      </c>
      <c r="R175" s="95">
        <v>0</v>
      </c>
      <c r="T175" s="168" t="s">
        <v>4499</v>
      </c>
      <c r="U175" s="168">
        <v>9301</v>
      </c>
      <c r="V175" s="113">
        <v>243.93</v>
      </c>
      <c r="W175" s="113">
        <f t="shared" si="44"/>
        <v>2268792.9300000002</v>
      </c>
      <c r="X175" s="99" t="s">
        <v>452</v>
      </c>
      <c r="AH175" s="270">
        <v>155</v>
      </c>
      <c r="AI175" s="266" t="s">
        <v>5111</v>
      </c>
      <c r="AJ175" s="266">
        <v>-50000000</v>
      </c>
      <c r="AK175" s="270">
        <v>7</v>
      </c>
      <c r="AL175" s="270">
        <f t="shared" si="35"/>
        <v>38</v>
      </c>
      <c r="AM175" s="266">
        <f t="shared" si="40"/>
        <v>-1900000000</v>
      </c>
      <c r="AN175" s="270" t="s">
        <v>5120</v>
      </c>
    </row>
    <row r="176" spans="15:43">
      <c r="Q176" s="99" t="s">
        <v>4926</v>
      </c>
      <c r="R176" s="95">
        <v>0</v>
      </c>
      <c r="T176" s="168" t="s">
        <v>4505</v>
      </c>
      <c r="U176" s="168">
        <v>8334</v>
      </c>
      <c r="V176" s="113">
        <v>239.97</v>
      </c>
      <c r="W176" s="113">
        <f t="shared" si="44"/>
        <v>1999909.98</v>
      </c>
      <c r="X176" s="99" t="s">
        <v>4444</v>
      </c>
      <c r="AH176" s="99">
        <v>156</v>
      </c>
      <c r="AI176" s="113" t="s">
        <v>5118</v>
      </c>
      <c r="AJ176" s="113">
        <v>10000000</v>
      </c>
      <c r="AK176" s="99">
        <v>12</v>
      </c>
      <c r="AL176" s="20">
        <f t="shared" si="35"/>
        <v>31</v>
      </c>
      <c r="AM176" s="117">
        <f t="shared" si="40"/>
        <v>310000000</v>
      </c>
      <c r="AN176" s="20" t="s">
        <v>4755</v>
      </c>
    </row>
    <row r="177" spans="17:44">
      <c r="Q177" s="99" t="s">
        <v>5105</v>
      </c>
      <c r="R177" s="95">
        <v>204600</v>
      </c>
      <c r="T177" s="168" t="s">
        <v>4229</v>
      </c>
      <c r="U177" s="168">
        <v>29041</v>
      </c>
      <c r="V177" s="113">
        <v>233.45</v>
      </c>
      <c r="W177" s="113">
        <f t="shared" si="44"/>
        <v>6779621.4499999993</v>
      </c>
      <c r="X177" s="99" t="s">
        <v>751</v>
      </c>
      <c r="AH177" s="99">
        <v>157</v>
      </c>
      <c r="AI177" s="113" t="s">
        <v>5128</v>
      </c>
      <c r="AJ177" s="113">
        <v>-16266000</v>
      </c>
      <c r="AK177" s="99">
        <v>1</v>
      </c>
      <c r="AL177" s="20">
        <f t="shared" si="35"/>
        <v>19</v>
      </c>
      <c r="AM177" s="117">
        <f t="shared" si="40"/>
        <v>-309054000</v>
      </c>
      <c r="AN177" s="20" t="s">
        <v>5146</v>
      </c>
      <c r="AQ177" t="s">
        <v>25</v>
      </c>
    </row>
    <row r="178" spans="17:44">
      <c r="Q178" s="99" t="s">
        <v>5106</v>
      </c>
      <c r="R178" s="95">
        <v>0</v>
      </c>
      <c r="S178" s="115"/>
      <c r="T178" s="168" t="s">
        <v>993</v>
      </c>
      <c r="U178" s="168">
        <v>12337</v>
      </c>
      <c r="V178" s="113">
        <v>243.16300000000001</v>
      </c>
      <c r="W178" s="113">
        <f t="shared" si="44"/>
        <v>2999901.9310000003</v>
      </c>
      <c r="X178" s="99" t="s">
        <v>4444</v>
      </c>
      <c r="AH178" s="99">
        <v>158</v>
      </c>
      <c r="AI178" s="113" t="s">
        <v>5147</v>
      </c>
      <c r="AJ178" s="113">
        <v>1000000</v>
      </c>
      <c r="AK178" s="99">
        <v>6</v>
      </c>
      <c r="AL178" s="20">
        <f t="shared" ref="AL178:AL186" si="45">AL179+AK178</f>
        <v>18</v>
      </c>
      <c r="AM178" s="117">
        <f t="shared" ref="AM178:AM186" si="46">AJ178*AL178</f>
        <v>18000000</v>
      </c>
      <c r="AN178" s="20"/>
    </row>
    <row r="179" spans="17:44">
      <c r="Q179" s="99" t="s">
        <v>5107</v>
      </c>
      <c r="R179" s="95">
        <v>0</v>
      </c>
      <c r="S179" s="122"/>
      <c r="T179" s="168" t="s">
        <v>4586</v>
      </c>
      <c r="U179" s="168">
        <v>-16118</v>
      </c>
      <c r="V179" s="113">
        <v>248.17</v>
      </c>
      <c r="W179" s="113">
        <f t="shared" si="44"/>
        <v>-4000004.0599999996</v>
      </c>
      <c r="X179" s="99" t="s">
        <v>751</v>
      </c>
      <c r="Y179" t="s">
        <v>25</v>
      </c>
      <c r="AH179" s="99">
        <v>159</v>
      </c>
      <c r="AI179" s="113" t="s">
        <v>5160</v>
      </c>
      <c r="AJ179" s="113">
        <v>40000</v>
      </c>
      <c r="AK179" s="99">
        <v>5</v>
      </c>
      <c r="AL179" s="20">
        <f t="shared" si="45"/>
        <v>12</v>
      </c>
      <c r="AM179" s="117">
        <f t="shared" si="46"/>
        <v>480000</v>
      </c>
      <c r="AN179" s="20"/>
    </row>
    <row r="180" spans="17:44">
      <c r="Q180" s="99" t="s">
        <v>5140</v>
      </c>
      <c r="R180" s="95">
        <v>200000</v>
      </c>
      <c r="S180" s="115"/>
      <c r="T180" s="168" t="s">
        <v>4614</v>
      </c>
      <c r="U180" s="168">
        <v>101681</v>
      </c>
      <c r="V180" s="113">
        <v>246.5711</v>
      </c>
      <c r="W180" s="113">
        <f t="shared" si="44"/>
        <v>25071596.019099999</v>
      </c>
      <c r="X180" s="99" t="s">
        <v>452</v>
      </c>
      <c r="AH180" s="99">
        <v>160</v>
      </c>
      <c r="AI180" s="113" t="s">
        <v>5179</v>
      </c>
      <c r="AJ180" s="113">
        <v>120000</v>
      </c>
      <c r="AK180" s="99">
        <v>6</v>
      </c>
      <c r="AL180" s="20">
        <f t="shared" si="45"/>
        <v>7</v>
      </c>
      <c r="AM180" s="117">
        <f t="shared" si="46"/>
        <v>840000</v>
      </c>
      <c r="AN180" s="20"/>
    </row>
    <row r="181" spans="17:44">
      <c r="Q181" s="99" t="s">
        <v>5104</v>
      </c>
      <c r="R181" s="95">
        <v>289900</v>
      </c>
      <c r="S181" s="115"/>
      <c r="T181" s="168" t="s">
        <v>4618</v>
      </c>
      <c r="U181" s="168">
        <v>66606</v>
      </c>
      <c r="V181" s="113">
        <v>251.131</v>
      </c>
      <c r="W181" s="113">
        <f t="shared" si="44"/>
        <v>16726831.386</v>
      </c>
      <c r="X181" s="99" t="s">
        <v>751</v>
      </c>
      <c r="Y181" t="s">
        <v>25</v>
      </c>
      <c r="AH181" s="99">
        <v>161</v>
      </c>
      <c r="AI181" s="113" t="s">
        <v>5168</v>
      </c>
      <c r="AJ181" s="113">
        <v>249000</v>
      </c>
      <c r="AK181" s="99">
        <v>1</v>
      </c>
      <c r="AL181" s="20">
        <f t="shared" si="45"/>
        <v>1</v>
      </c>
      <c r="AM181" s="117">
        <f t="shared" si="46"/>
        <v>249000</v>
      </c>
      <c r="AN181" s="20"/>
    </row>
    <row r="182" spans="17:44">
      <c r="Q182" s="99" t="s">
        <v>4454</v>
      </c>
      <c r="R182" s="95">
        <f>SUM(R169:R181)</f>
        <v>1413194656.5</v>
      </c>
      <c r="T182" s="168" t="s">
        <v>4623</v>
      </c>
      <c r="U182" s="168">
        <v>172025</v>
      </c>
      <c r="V182" s="113">
        <v>245.52809999999999</v>
      </c>
      <c r="W182" s="113">
        <f t="shared" si="44"/>
        <v>42236971.402499996</v>
      </c>
      <c r="X182" s="99" t="s">
        <v>452</v>
      </c>
      <c r="Y182" t="s">
        <v>25</v>
      </c>
      <c r="AH182" s="99"/>
      <c r="AI182" s="113"/>
      <c r="AJ182" s="113"/>
      <c r="AK182" s="99"/>
      <c r="AL182" s="20">
        <f t="shared" si="45"/>
        <v>0</v>
      </c>
      <c r="AM182" s="117">
        <f t="shared" si="46"/>
        <v>0</v>
      </c>
      <c r="AN182" s="20"/>
    </row>
    <row r="183" spans="17:44">
      <c r="Q183" s="96"/>
      <c r="T183" s="168" t="s">
        <v>4623</v>
      </c>
      <c r="U183" s="168">
        <v>189227</v>
      </c>
      <c r="V183" s="113">
        <v>245.52809999999999</v>
      </c>
      <c r="W183" s="113">
        <f t="shared" si="44"/>
        <v>46460545.778700002</v>
      </c>
      <c r="X183" s="99" t="s">
        <v>751</v>
      </c>
      <c r="AH183" s="99"/>
      <c r="AI183" s="113"/>
      <c r="AJ183" s="113"/>
      <c r="AK183" s="99"/>
      <c r="AL183" s="20">
        <f t="shared" si="45"/>
        <v>0</v>
      </c>
      <c r="AM183" s="117">
        <f t="shared" si="46"/>
        <v>0</v>
      </c>
      <c r="AN183" s="20"/>
      <c r="AQ183" t="s">
        <v>25</v>
      </c>
    </row>
    <row r="184" spans="17:44">
      <c r="T184" s="168" t="s">
        <v>4624</v>
      </c>
      <c r="U184" s="168">
        <v>79720</v>
      </c>
      <c r="V184" s="113">
        <v>246.6568</v>
      </c>
      <c r="W184" s="113">
        <f t="shared" si="44"/>
        <v>19663480.096000001</v>
      </c>
      <c r="X184" s="99" t="s">
        <v>452</v>
      </c>
      <c r="AH184" s="99"/>
      <c r="AI184" s="113"/>
      <c r="AJ184" s="113"/>
      <c r="AK184" s="99"/>
      <c r="AL184" s="20">
        <f t="shared" si="45"/>
        <v>0</v>
      </c>
      <c r="AM184" s="117">
        <f t="shared" si="46"/>
        <v>0</v>
      </c>
      <c r="AN184" s="20"/>
      <c r="AR184" t="s">
        <v>25</v>
      </c>
    </row>
    <row r="185" spans="17:44">
      <c r="Q185" s="99" t="s">
        <v>8</v>
      </c>
      <c r="R185" s="99" t="s">
        <v>4444</v>
      </c>
      <c r="S185" s="99"/>
      <c r="T185" s="168" t="s">
        <v>4624</v>
      </c>
      <c r="U185" s="168">
        <v>79720</v>
      </c>
      <c r="V185" s="113">
        <v>246.6568</v>
      </c>
      <c r="W185" s="113">
        <f t="shared" si="44"/>
        <v>19663480.096000001</v>
      </c>
      <c r="X185" s="99" t="s">
        <v>751</v>
      </c>
      <c r="AH185" s="99"/>
      <c r="AI185" s="113"/>
      <c r="AJ185" s="113"/>
      <c r="AK185" s="99"/>
      <c r="AL185" s="20">
        <f t="shared" si="45"/>
        <v>0</v>
      </c>
      <c r="AM185" s="117">
        <f t="shared" si="46"/>
        <v>0</v>
      </c>
      <c r="AN185" s="20"/>
    </row>
    <row r="186" spans="17:44">
      <c r="Q186" s="99"/>
      <c r="R186" s="36" t="s">
        <v>180</v>
      </c>
      <c r="S186" s="99" t="s">
        <v>267</v>
      </c>
      <c r="T186" s="168" t="s">
        <v>4648</v>
      </c>
      <c r="U186" s="168">
        <v>17769</v>
      </c>
      <c r="V186" s="113">
        <v>246.17877999999999</v>
      </c>
      <c r="W186" s="113">
        <f t="shared" si="44"/>
        <v>4374350.7418200001</v>
      </c>
      <c r="X186" s="99" t="s">
        <v>751</v>
      </c>
      <c r="AH186" s="99"/>
      <c r="AI186" s="113"/>
      <c r="AJ186" s="113"/>
      <c r="AK186" s="99"/>
      <c r="AL186" s="20">
        <f t="shared" si="45"/>
        <v>0</v>
      </c>
      <c r="AM186" s="117">
        <f t="shared" si="46"/>
        <v>0</v>
      </c>
      <c r="AN186" s="99"/>
      <c r="AQ186" t="s">
        <v>25</v>
      </c>
      <c r="AR186" t="s">
        <v>25</v>
      </c>
    </row>
    <row r="187" spans="17:44">
      <c r="Q187" s="99"/>
      <c r="R187" s="99" t="s">
        <v>4437</v>
      </c>
      <c r="S187" s="95">
        <v>3000000</v>
      </c>
      <c r="T187" s="168" t="s">
        <v>4648</v>
      </c>
      <c r="U187" s="168">
        <v>17769</v>
      </c>
      <c r="V187" s="113">
        <v>246.17877999999999</v>
      </c>
      <c r="W187" s="113">
        <f t="shared" si="44"/>
        <v>4374350.7418200001</v>
      </c>
      <c r="X187" s="99" t="s">
        <v>452</v>
      </c>
      <c r="Z187" t="s">
        <v>25</v>
      </c>
      <c r="AH187" s="99"/>
      <c r="AI187" s="99"/>
      <c r="AJ187" s="95">
        <f>SUM(AJ20:AJ186)</f>
        <v>495187657</v>
      </c>
      <c r="AK187" s="99"/>
      <c r="AL187" s="99"/>
      <c r="AM187" s="95">
        <f>SUM(AM20:AM186)</f>
        <v>136017831455</v>
      </c>
      <c r="AN187" s="95">
        <f>AM187*AN190/31</f>
        <v>73129328.930983394</v>
      </c>
    </row>
    <row r="188" spans="17:44">
      <c r="Q188" s="99"/>
      <c r="R188" s="99" t="s">
        <v>4491</v>
      </c>
      <c r="S188" s="95">
        <v>2000000</v>
      </c>
      <c r="T188" s="168" t="s">
        <v>4651</v>
      </c>
      <c r="U188" s="168">
        <v>12438</v>
      </c>
      <c r="V188" s="113">
        <v>241.20465999999999</v>
      </c>
      <c r="W188" s="113">
        <f t="shared" si="44"/>
        <v>3000103.5610799999</v>
      </c>
      <c r="X188" s="99" t="s">
        <v>4444</v>
      </c>
      <c r="AH188" s="99"/>
      <c r="AI188" s="99"/>
      <c r="AJ188" s="99" t="s">
        <v>4058</v>
      </c>
      <c r="AK188" s="99"/>
      <c r="AL188" s="99"/>
      <c r="AM188" s="99" t="s">
        <v>284</v>
      </c>
      <c r="AN188" s="99" t="s">
        <v>942</v>
      </c>
    </row>
    <row r="189" spans="17:44">
      <c r="Q189" s="99"/>
      <c r="R189" s="99" t="s">
        <v>4499</v>
      </c>
      <c r="S189" s="95">
        <v>1000000</v>
      </c>
      <c r="T189" s="168" t="s">
        <v>4660</v>
      </c>
      <c r="U189" s="168">
        <v>27363</v>
      </c>
      <c r="V189" s="113">
        <v>239.3886</v>
      </c>
      <c r="W189" s="113">
        <f t="shared" si="44"/>
        <v>6550390.2617999995</v>
      </c>
      <c r="X189" s="99" t="s">
        <v>751</v>
      </c>
      <c r="AH189" s="99"/>
      <c r="AI189" s="99"/>
      <c r="AJ189" s="99"/>
      <c r="AK189" s="99"/>
      <c r="AL189" s="99"/>
      <c r="AM189" s="99"/>
      <c r="AN189" s="99"/>
    </row>
    <row r="190" spans="17:44">
      <c r="Q190" s="99"/>
      <c r="R190" s="99" t="s">
        <v>4505</v>
      </c>
      <c r="S190" s="95">
        <v>2000000</v>
      </c>
      <c r="T190" s="168" t="s">
        <v>4660</v>
      </c>
      <c r="U190" s="168">
        <v>27363</v>
      </c>
      <c r="V190" s="113">
        <v>239.3886</v>
      </c>
      <c r="W190" s="113">
        <f t="shared" si="44"/>
        <v>6550390.2617999995</v>
      </c>
      <c r="X190" s="99" t="s">
        <v>452</v>
      </c>
      <c r="AH190" s="99"/>
      <c r="AI190" s="99"/>
      <c r="AJ190" s="99"/>
      <c r="AK190" s="99"/>
      <c r="AL190" s="99"/>
      <c r="AM190" s="99" t="s">
        <v>4059</v>
      </c>
      <c r="AN190" s="99">
        <v>1.6667000000000001E-2</v>
      </c>
    </row>
    <row r="191" spans="17:44">
      <c r="Q191" s="99"/>
      <c r="R191" s="99" t="s">
        <v>993</v>
      </c>
      <c r="S191" s="95">
        <v>3000000</v>
      </c>
      <c r="T191" s="210" t="s">
        <v>4662</v>
      </c>
      <c r="U191" s="210">
        <v>27437</v>
      </c>
      <c r="V191" s="113">
        <v>242.4015</v>
      </c>
      <c r="W191" s="113">
        <f t="shared" si="44"/>
        <v>6650769.9555000002</v>
      </c>
      <c r="X191" s="99" t="s">
        <v>751</v>
      </c>
      <c r="Y191" t="s">
        <v>25</v>
      </c>
      <c r="AH191" s="99"/>
      <c r="AI191" s="99"/>
      <c r="AJ191" s="99"/>
      <c r="AK191" s="99"/>
      <c r="AL191" s="99"/>
      <c r="AM191" s="99"/>
      <c r="AN191" s="99"/>
    </row>
    <row r="192" spans="17:44">
      <c r="Q192" s="99"/>
      <c r="R192" s="99" t="s">
        <v>4651</v>
      </c>
      <c r="S192" s="95">
        <v>3000000</v>
      </c>
      <c r="T192" s="210" t="s">
        <v>4662</v>
      </c>
      <c r="U192" s="210">
        <v>29104</v>
      </c>
      <c r="V192" s="113">
        <v>242.4015</v>
      </c>
      <c r="W192" s="113">
        <f t="shared" si="44"/>
        <v>7054853.2560000001</v>
      </c>
      <c r="X192" s="99" t="s">
        <v>452</v>
      </c>
      <c r="AH192" s="99"/>
      <c r="AI192" s="99" t="s">
        <v>4060</v>
      </c>
      <c r="AJ192" s="95">
        <f>AJ187+AN187</f>
        <v>568316985.93098342</v>
      </c>
      <c r="AK192" s="99"/>
      <c r="AL192" s="99"/>
      <c r="AM192" s="99"/>
      <c r="AN192" s="99"/>
    </row>
    <row r="193" spans="15:44">
      <c r="Q193" s="99" t="s">
        <v>4841</v>
      </c>
      <c r="R193" s="99" t="s">
        <v>4836</v>
      </c>
      <c r="S193" s="95">
        <v>-800000</v>
      </c>
      <c r="T193" s="213" t="s">
        <v>4685</v>
      </c>
      <c r="U193" s="213">
        <v>8991</v>
      </c>
      <c r="V193" s="113">
        <v>238.64867000000001</v>
      </c>
      <c r="W193" s="113">
        <f t="shared" si="44"/>
        <v>2145690.19197</v>
      </c>
      <c r="X193" s="99" t="s">
        <v>751</v>
      </c>
      <c r="AI193" t="s">
        <v>4063</v>
      </c>
      <c r="AJ193" s="114">
        <f>SUM(N40:N47)</f>
        <v>813394425.70000005</v>
      </c>
    </row>
    <row r="194" spans="15:44">
      <c r="Q194" s="99" t="s">
        <v>4842</v>
      </c>
      <c r="R194" s="99" t="s">
        <v>4836</v>
      </c>
      <c r="S194" s="95">
        <v>-900000</v>
      </c>
      <c r="T194" s="213" t="s">
        <v>4685</v>
      </c>
      <c r="U194" s="213">
        <v>8991</v>
      </c>
      <c r="V194" s="113">
        <v>238.64867000000001</v>
      </c>
      <c r="W194" s="113">
        <f t="shared" si="44"/>
        <v>2145690.19197</v>
      </c>
      <c r="X194" s="99" t="s">
        <v>452</v>
      </c>
      <c r="AI194" t="s">
        <v>4135</v>
      </c>
      <c r="AJ194" s="114">
        <f>AJ193-AJ187</f>
        <v>318206768.70000005</v>
      </c>
      <c r="AM194" t="s">
        <v>25</v>
      </c>
    </row>
    <row r="195" spans="15:44">
      <c r="Q195" s="99" t="s">
        <v>4842</v>
      </c>
      <c r="R195" s="99" t="s">
        <v>980</v>
      </c>
      <c r="S195" s="95">
        <v>-1100000</v>
      </c>
      <c r="T195" s="213" t="s">
        <v>4696</v>
      </c>
      <c r="U195" s="213">
        <v>18170</v>
      </c>
      <c r="V195" s="113">
        <v>240.48475999999999</v>
      </c>
      <c r="W195" s="113">
        <f t="shared" si="44"/>
        <v>4369608.0892000003</v>
      </c>
      <c r="X195" s="99" t="s">
        <v>751</v>
      </c>
      <c r="AI195" t="s">
        <v>942</v>
      </c>
      <c r="AJ195" s="114">
        <f>AN187</f>
        <v>73129328.930983394</v>
      </c>
      <c r="AN195" t="s">
        <v>25</v>
      </c>
    </row>
    <row r="196" spans="15:44">
      <c r="O196" t="s">
        <v>25</v>
      </c>
      <c r="Q196" s="195" t="s">
        <v>1086</v>
      </c>
      <c r="R196" s="195" t="s">
        <v>4866</v>
      </c>
      <c r="S196" s="242">
        <v>30000000</v>
      </c>
      <c r="T196" s="213" t="s">
        <v>4696</v>
      </c>
      <c r="U196" s="213">
        <v>18170</v>
      </c>
      <c r="V196" s="113">
        <v>240.48475999999999</v>
      </c>
      <c r="W196" s="113">
        <f t="shared" si="44"/>
        <v>4369608.0892000003</v>
      </c>
      <c r="X196" s="99" t="s">
        <v>452</v>
      </c>
      <c r="AI196" t="s">
        <v>4064</v>
      </c>
      <c r="AJ196" s="114">
        <f>AJ193-AJ192</f>
        <v>245077439.76901662</v>
      </c>
      <c r="AN196" t="s">
        <v>25</v>
      </c>
    </row>
    <row r="197" spans="15:44">
      <c r="Q197" s="20" t="s">
        <v>4954</v>
      </c>
      <c r="R197" s="20" t="s">
        <v>4952</v>
      </c>
      <c r="S197" s="247">
        <v>2000000</v>
      </c>
      <c r="T197" s="213" t="s">
        <v>4698</v>
      </c>
      <c r="U197" s="213">
        <v>36797</v>
      </c>
      <c r="V197" s="113">
        <v>239.0822</v>
      </c>
      <c r="W197" s="113">
        <f t="shared" si="44"/>
        <v>8797507.7134000007</v>
      </c>
      <c r="X197" s="99" t="s">
        <v>751</v>
      </c>
      <c r="Y197" t="s">
        <v>25</v>
      </c>
      <c r="AM197" t="s">
        <v>25</v>
      </c>
    </row>
    <row r="198" spans="15:44">
      <c r="Q198" s="149" t="s">
        <v>4980</v>
      </c>
      <c r="R198" s="149" t="s">
        <v>4979</v>
      </c>
      <c r="S198" s="150">
        <v>480105</v>
      </c>
      <c r="T198" s="213" t="s">
        <v>4698</v>
      </c>
      <c r="U198" s="213">
        <v>36797</v>
      </c>
      <c r="V198" s="113">
        <v>239.0822</v>
      </c>
      <c r="W198" s="113">
        <f t="shared" si="44"/>
        <v>8797507.7134000007</v>
      </c>
      <c r="X198" s="99" t="s">
        <v>452</v>
      </c>
      <c r="AJ198" t="s">
        <v>25</v>
      </c>
    </row>
    <row r="199" spans="15:44">
      <c r="Q199" s="149"/>
      <c r="R199" s="149" t="s">
        <v>5036</v>
      </c>
      <c r="S199" s="150">
        <v>30500000</v>
      </c>
      <c r="T199" s="213" t="s">
        <v>4707</v>
      </c>
      <c r="U199" s="213">
        <v>28066</v>
      </c>
      <c r="V199" s="113">
        <v>237.56970000000001</v>
      </c>
      <c r="W199" s="113">
        <f t="shared" si="44"/>
        <v>6667631.2002000008</v>
      </c>
      <c r="X199" s="99" t="s">
        <v>751</v>
      </c>
    </row>
    <row r="200" spans="15:44">
      <c r="Q200" s="20" t="s">
        <v>5083</v>
      </c>
      <c r="R200" s="20" t="s">
        <v>5078</v>
      </c>
      <c r="S200" s="247">
        <v>-400000</v>
      </c>
      <c r="T200" s="213" t="s">
        <v>4707</v>
      </c>
      <c r="U200" s="213">
        <v>28066</v>
      </c>
      <c r="V200" s="113">
        <v>237.56970000000001</v>
      </c>
      <c r="W200" s="113">
        <f t="shared" si="44"/>
        <v>6667631.2002000008</v>
      </c>
      <c r="X200" s="99" t="s">
        <v>452</v>
      </c>
    </row>
    <row r="201" spans="15:44">
      <c r="Q201" s="99"/>
      <c r="R201" s="99"/>
      <c r="S201" s="95"/>
      <c r="T201" s="213" t="s">
        <v>3683</v>
      </c>
      <c r="U201" s="213">
        <v>37457</v>
      </c>
      <c r="V201" s="113">
        <v>239.77</v>
      </c>
      <c r="W201" s="113">
        <f t="shared" si="44"/>
        <v>8981064.8900000006</v>
      </c>
      <c r="X201" s="99" t="s">
        <v>751</v>
      </c>
      <c r="AQ201" t="s">
        <v>25</v>
      </c>
    </row>
    <row r="202" spans="15:44">
      <c r="Q202" s="99"/>
      <c r="R202" s="99"/>
      <c r="S202" s="95">
        <f>SUM(S187:S201)</f>
        <v>73780105</v>
      </c>
      <c r="T202" s="213" t="s">
        <v>3683</v>
      </c>
      <c r="U202" s="213">
        <v>37457</v>
      </c>
      <c r="V202" s="113">
        <v>239.77</v>
      </c>
      <c r="W202" s="113">
        <f t="shared" si="44"/>
        <v>8981064.8900000006</v>
      </c>
      <c r="X202" s="99" t="s">
        <v>452</v>
      </c>
    </row>
    <row r="203" spans="15:44">
      <c r="Q203" s="99"/>
      <c r="R203" s="99"/>
      <c r="S203" s="99" t="s">
        <v>6</v>
      </c>
      <c r="T203" s="213" t="s">
        <v>4720</v>
      </c>
      <c r="U203" s="213">
        <v>38412</v>
      </c>
      <c r="V203" s="113">
        <v>239.03</v>
      </c>
      <c r="W203" s="113">
        <f t="shared" si="44"/>
        <v>9181620.3599999994</v>
      </c>
      <c r="X203" s="99" t="s">
        <v>751</v>
      </c>
      <c r="AH203" s="99" t="s">
        <v>3640</v>
      </c>
      <c r="AI203" s="99" t="s">
        <v>180</v>
      </c>
      <c r="AJ203" s="99" t="s">
        <v>267</v>
      </c>
      <c r="AK203" s="99" t="s">
        <v>4057</v>
      </c>
      <c r="AL203" s="99" t="s">
        <v>4049</v>
      </c>
      <c r="AM203" s="99" t="s">
        <v>282</v>
      </c>
      <c r="AN203" s="99" t="s">
        <v>4291</v>
      </c>
    </row>
    <row r="204" spans="15:44">
      <c r="T204" s="213" t="s">
        <v>4720</v>
      </c>
      <c r="U204" s="213">
        <v>38412</v>
      </c>
      <c r="V204" s="113">
        <v>239.03</v>
      </c>
      <c r="W204" s="113">
        <f t="shared" si="44"/>
        <v>9181620.3599999994</v>
      </c>
      <c r="X204" s="99" t="s">
        <v>452</v>
      </c>
      <c r="AH204" s="99">
        <v>1</v>
      </c>
      <c r="AI204" s="99" t="s">
        <v>3948</v>
      </c>
      <c r="AJ204" s="117">
        <v>3555820</v>
      </c>
      <c r="AK204" s="99">
        <v>2</v>
      </c>
      <c r="AL204" s="99">
        <f>AK204+AL205</f>
        <v>386</v>
      </c>
      <c r="AM204" s="99">
        <f>AJ204*AL204</f>
        <v>1372546520</v>
      </c>
      <c r="AN204" s="99" t="s">
        <v>4311</v>
      </c>
      <c r="AR204" t="s">
        <v>25</v>
      </c>
    </row>
    <row r="205" spans="15:44">
      <c r="Q205" s="96"/>
      <c r="R205" s="96" t="s">
        <v>25</v>
      </c>
      <c r="T205" s="213" t="s">
        <v>4724</v>
      </c>
      <c r="U205" s="213">
        <v>49555</v>
      </c>
      <c r="V205" s="113">
        <v>238.345</v>
      </c>
      <c r="W205" s="113">
        <f t="shared" si="44"/>
        <v>11811186.475</v>
      </c>
      <c r="X205" s="99" t="s">
        <v>751</v>
      </c>
      <c r="AH205" s="99">
        <v>2</v>
      </c>
      <c r="AI205" s="99" t="s">
        <v>4023</v>
      </c>
      <c r="AJ205" s="117">
        <v>1720837</v>
      </c>
      <c r="AK205" s="99">
        <v>51</v>
      </c>
      <c r="AL205" s="99">
        <f t="shared" ref="AL205:AL214" si="47">AK205+AL206</f>
        <v>384</v>
      </c>
      <c r="AM205" s="99">
        <f t="shared" ref="AM205:AM233" si="48">AJ205*AL205</f>
        <v>660801408</v>
      </c>
      <c r="AN205" s="99" t="s">
        <v>4312</v>
      </c>
    </row>
    <row r="206" spans="15:44">
      <c r="Q206" s="96"/>
      <c r="R206" s="96" t="s">
        <v>25</v>
      </c>
      <c r="T206" s="213" t="s">
        <v>4724</v>
      </c>
      <c r="U206" s="213">
        <v>49555</v>
      </c>
      <c r="V206" s="113">
        <v>238.345</v>
      </c>
      <c r="W206" s="113">
        <f t="shared" si="44"/>
        <v>11811186.475</v>
      </c>
      <c r="X206" s="99" t="s">
        <v>452</v>
      </c>
      <c r="AH206" s="99">
        <v>3</v>
      </c>
      <c r="AI206" s="99" t="s">
        <v>4129</v>
      </c>
      <c r="AJ206" s="117">
        <v>150000</v>
      </c>
      <c r="AK206" s="99">
        <v>3</v>
      </c>
      <c r="AL206" s="99">
        <f t="shared" si="47"/>
        <v>333</v>
      </c>
      <c r="AM206" s="99">
        <f t="shared" si="48"/>
        <v>49950000</v>
      </c>
      <c r="AN206" s="99"/>
    </row>
    <row r="207" spans="15:44">
      <c r="T207" s="213" t="s">
        <v>4738</v>
      </c>
      <c r="U207" s="213">
        <v>160187</v>
      </c>
      <c r="V207" s="113">
        <v>257.49799999999999</v>
      </c>
      <c r="W207" s="113">
        <f t="shared" si="44"/>
        <v>41247832.126000002</v>
      </c>
      <c r="X207" s="99" t="s">
        <v>751</v>
      </c>
      <c r="AH207" s="99">
        <v>4</v>
      </c>
      <c r="AI207" s="99" t="s">
        <v>4144</v>
      </c>
      <c r="AJ207" s="117">
        <v>-95000</v>
      </c>
      <c r="AK207" s="99">
        <v>8</v>
      </c>
      <c r="AL207" s="99">
        <f t="shared" si="47"/>
        <v>330</v>
      </c>
      <c r="AM207" s="99">
        <f t="shared" si="48"/>
        <v>-31350000</v>
      </c>
      <c r="AN207" s="99"/>
      <c r="AR207" t="s">
        <v>25</v>
      </c>
    </row>
    <row r="208" spans="15:44">
      <c r="Q208" s="99" t="s">
        <v>751</v>
      </c>
      <c r="R208" s="99"/>
      <c r="T208" s="213" t="s">
        <v>4738</v>
      </c>
      <c r="U208" s="213">
        <v>160187</v>
      </c>
      <c r="V208" s="113">
        <v>257.49799999999999</v>
      </c>
      <c r="W208" s="113">
        <f t="shared" si="44"/>
        <v>41247832.126000002</v>
      </c>
      <c r="X208" s="99" t="s">
        <v>452</v>
      </c>
      <c r="AH208" s="99">
        <v>5</v>
      </c>
      <c r="AI208" s="99" t="s">
        <v>4171</v>
      </c>
      <c r="AJ208" s="117">
        <v>3150000</v>
      </c>
      <c r="AK208" s="99">
        <v>16</v>
      </c>
      <c r="AL208" s="99">
        <f t="shared" si="47"/>
        <v>322</v>
      </c>
      <c r="AM208" s="99">
        <f t="shared" si="48"/>
        <v>1014300000</v>
      </c>
      <c r="AN208" s="99"/>
    </row>
    <row r="209" spans="17:45">
      <c r="Q209" s="99" t="s">
        <v>4437</v>
      </c>
      <c r="R209" s="95">
        <v>172908000</v>
      </c>
      <c r="T209" s="213" t="s">
        <v>4746</v>
      </c>
      <c r="U209" s="213">
        <v>144401</v>
      </c>
      <c r="V209" s="113">
        <v>258.5061</v>
      </c>
      <c r="W209" s="113">
        <f t="shared" si="44"/>
        <v>37328539.346100003</v>
      </c>
      <c r="X209" s="99" t="s">
        <v>751</v>
      </c>
      <c r="AH209" s="99">
        <v>6</v>
      </c>
      <c r="AI209" s="99" t="s">
        <v>4239</v>
      </c>
      <c r="AJ209" s="117">
        <v>-65000</v>
      </c>
      <c r="AK209" s="99">
        <v>1</v>
      </c>
      <c r="AL209" s="99">
        <f t="shared" si="47"/>
        <v>306</v>
      </c>
      <c r="AM209" s="99">
        <f t="shared" si="48"/>
        <v>-19890000</v>
      </c>
      <c r="AN209" s="99"/>
      <c r="AP209" t="s">
        <v>25</v>
      </c>
    </row>
    <row r="210" spans="17:45">
      <c r="Q210" s="99" t="s">
        <v>4478</v>
      </c>
      <c r="R210" s="95">
        <v>1400000</v>
      </c>
      <c r="T210" s="213" t="s">
        <v>4746</v>
      </c>
      <c r="U210" s="213">
        <v>144401</v>
      </c>
      <c r="V210" s="113">
        <v>258.5061</v>
      </c>
      <c r="W210" s="113">
        <f t="shared" si="44"/>
        <v>37328539.346100003</v>
      </c>
      <c r="X210" s="99" t="s">
        <v>452</v>
      </c>
      <c r="Z210" t="s">
        <v>25</v>
      </c>
      <c r="AH210" s="99">
        <v>7</v>
      </c>
      <c r="AI210" s="99" t="s">
        <v>4313</v>
      </c>
      <c r="AJ210" s="117">
        <v>-95000</v>
      </c>
      <c r="AK210" s="99">
        <v>6</v>
      </c>
      <c r="AL210" s="99">
        <f t="shared" si="47"/>
        <v>305</v>
      </c>
      <c r="AM210" s="99">
        <f t="shared" si="48"/>
        <v>-28975000</v>
      </c>
      <c r="AN210" s="99"/>
    </row>
    <row r="211" spans="17:45">
      <c r="Q211" s="99" t="s">
        <v>4230</v>
      </c>
      <c r="R211" s="95">
        <v>247393</v>
      </c>
      <c r="S211" t="s">
        <v>25</v>
      </c>
      <c r="T211" s="168" t="s">
        <v>4753</v>
      </c>
      <c r="U211" s="168">
        <v>196500</v>
      </c>
      <c r="V211" s="113">
        <v>254.452</v>
      </c>
      <c r="W211" s="113">
        <f t="shared" si="44"/>
        <v>49999818</v>
      </c>
      <c r="X211" s="99" t="s">
        <v>4757</v>
      </c>
      <c r="AH211" s="99">
        <v>8</v>
      </c>
      <c r="AI211" s="99" t="s">
        <v>4314</v>
      </c>
      <c r="AJ211" s="117">
        <v>232000</v>
      </c>
      <c r="AK211" s="99">
        <v>7</v>
      </c>
      <c r="AL211" s="99">
        <f t="shared" si="47"/>
        <v>299</v>
      </c>
      <c r="AM211" s="99">
        <f t="shared" si="48"/>
        <v>69368000</v>
      </c>
      <c r="AN211" s="99"/>
    </row>
    <row r="212" spans="17:45">
      <c r="Q212" s="99" t="s">
        <v>4229</v>
      </c>
      <c r="R212" s="95">
        <v>6780000</v>
      </c>
      <c r="T212" s="213" t="s">
        <v>4753</v>
      </c>
      <c r="U212" s="213">
        <v>2561</v>
      </c>
      <c r="V212" s="113">
        <v>254.536</v>
      </c>
      <c r="W212" s="113">
        <f t="shared" si="44"/>
        <v>651866.696</v>
      </c>
      <c r="X212" s="99" t="s">
        <v>4758</v>
      </c>
      <c r="AH212" s="99">
        <v>9</v>
      </c>
      <c r="AI212" s="99" t="s">
        <v>4290</v>
      </c>
      <c r="AJ212" s="117">
        <v>13000000</v>
      </c>
      <c r="AK212" s="99">
        <v>2</v>
      </c>
      <c r="AL212" s="99">
        <f t="shared" si="47"/>
        <v>292</v>
      </c>
      <c r="AM212" s="99">
        <f t="shared" si="48"/>
        <v>3796000000</v>
      </c>
      <c r="AN212" s="99"/>
    </row>
    <row r="213" spans="17:45">
      <c r="Q213" s="99" t="s">
        <v>4586</v>
      </c>
      <c r="R213" s="95">
        <v>-4000000</v>
      </c>
      <c r="T213" s="213" t="s">
        <v>4802</v>
      </c>
      <c r="U213" s="213">
        <v>-11795</v>
      </c>
      <c r="V213" s="113">
        <v>254.334</v>
      </c>
      <c r="W213" s="113">
        <f t="shared" si="44"/>
        <v>-2999869.5300000003</v>
      </c>
      <c r="X213" s="99" t="s">
        <v>4803</v>
      </c>
      <c r="AH213" s="99">
        <v>10</v>
      </c>
      <c r="AI213" s="99" t="s">
        <v>4315</v>
      </c>
      <c r="AJ213" s="117">
        <v>10000000</v>
      </c>
      <c r="AK213" s="99">
        <v>3</v>
      </c>
      <c r="AL213" s="99">
        <f t="shared" si="47"/>
        <v>290</v>
      </c>
      <c r="AM213" s="99">
        <f t="shared" si="48"/>
        <v>2900000000</v>
      </c>
      <c r="AN213" s="99"/>
      <c r="AR213" t="s">
        <v>25</v>
      </c>
    </row>
    <row r="214" spans="17:45">
      <c r="Q214" s="99" t="s">
        <v>4618</v>
      </c>
      <c r="R214" s="95">
        <v>16727037</v>
      </c>
      <c r="T214" s="213" t="s">
        <v>4802</v>
      </c>
      <c r="U214" s="213">
        <v>11795</v>
      </c>
      <c r="V214" s="113">
        <v>254.334</v>
      </c>
      <c r="W214" s="113">
        <f t="shared" si="44"/>
        <v>2999869.5300000003</v>
      </c>
      <c r="X214" s="99" t="s">
        <v>4804</v>
      </c>
      <c r="AH214" s="99">
        <v>11</v>
      </c>
      <c r="AI214" s="99" t="s">
        <v>4303</v>
      </c>
      <c r="AJ214" s="117">
        <v>3400000</v>
      </c>
      <c r="AK214" s="99">
        <v>9</v>
      </c>
      <c r="AL214" s="99">
        <f t="shared" si="47"/>
        <v>287</v>
      </c>
      <c r="AM214" s="99">
        <f t="shared" si="48"/>
        <v>975800000</v>
      </c>
      <c r="AN214" s="99"/>
      <c r="AQ214" t="s">
        <v>25</v>
      </c>
    </row>
    <row r="215" spans="17:45">
      <c r="Q215" s="99" t="s">
        <v>4623</v>
      </c>
      <c r="R215" s="95">
        <v>46460683</v>
      </c>
      <c r="S215" t="s">
        <v>25</v>
      </c>
      <c r="T215" s="213" t="s">
        <v>4817</v>
      </c>
      <c r="U215" s="213">
        <v>260</v>
      </c>
      <c r="V215" s="113">
        <v>263.19</v>
      </c>
      <c r="W215" s="113">
        <f t="shared" si="44"/>
        <v>68429.399999999994</v>
      </c>
      <c r="X215" s="99" t="s">
        <v>452</v>
      </c>
      <c r="AH215" s="99">
        <v>12</v>
      </c>
      <c r="AI215" s="99" t="s">
        <v>4345</v>
      </c>
      <c r="AJ215" s="117">
        <v>-8736514</v>
      </c>
      <c r="AK215" s="99">
        <v>1</v>
      </c>
      <c r="AL215" s="99">
        <f>AK215+AL216</f>
        <v>278</v>
      </c>
      <c r="AM215" s="99">
        <f t="shared" si="48"/>
        <v>-2428750892</v>
      </c>
      <c r="AN215" s="99"/>
    </row>
    <row r="216" spans="17:45">
      <c r="Q216" s="99" t="s">
        <v>4624</v>
      </c>
      <c r="R216" s="95">
        <v>19663646</v>
      </c>
      <c r="T216" s="213" t="s">
        <v>4831</v>
      </c>
      <c r="U216" s="213">
        <v>15257</v>
      </c>
      <c r="V216" s="113">
        <v>262.19018</v>
      </c>
      <c r="W216" s="113">
        <f t="shared" si="44"/>
        <v>4000235.57626</v>
      </c>
      <c r="X216" s="99" t="s">
        <v>452</v>
      </c>
      <c r="AH216" s="99">
        <v>13</v>
      </c>
      <c r="AI216" s="99" t="s">
        <v>4346</v>
      </c>
      <c r="AJ216" s="117">
        <v>555000</v>
      </c>
      <c r="AK216" s="99">
        <v>5</v>
      </c>
      <c r="AL216" s="99">
        <f t="shared" ref="AL216:AL232" si="49">AK216+AL217</f>
        <v>277</v>
      </c>
      <c r="AM216" s="99">
        <f t="shared" si="48"/>
        <v>153735000</v>
      </c>
      <c r="AN216" s="99"/>
    </row>
    <row r="217" spans="17:45">
      <c r="Q217" s="99" t="s">
        <v>4648</v>
      </c>
      <c r="R217" s="95">
        <v>4374525</v>
      </c>
      <c r="T217" s="213" t="s">
        <v>4831</v>
      </c>
      <c r="U217" s="213">
        <v>8444</v>
      </c>
      <c r="V217" s="113">
        <v>266.43029999999999</v>
      </c>
      <c r="W217" s="113">
        <f t="shared" si="44"/>
        <v>2249737.4531999999</v>
      </c>
      <c r="X217" s="99" t="s">
        <v>452</v>
      </c>
      <c r="AH217" s="99">
        <v>14</v>
      </c>
      <c r="AI217" s="99" t="s">
        <v>4370</v>
      </c>
      <c r="AJ217" s="117">
        <v>-448308</v>
      </c>
      <c r="AK217" s="99">
        <v>6</v>
      </c>
      <c r="AL217" s="99">
        <f t="shared" si="49"/>
        <v>272</v>
      </c>
      <c r="AM217" s="99">
        <f t="shared" si="48"/>
        <v>-121939776</v>
      </c>
      <c r="AN217" s="99"/>
    </row>
    <row r="218" spans="17:45">
      <c r="Q218" s="99" t="s">
        <v>4660</v>
      </c>
      <c r="R218" s="95">
        <v>6550580</v>
      </c>
      <c r="T218" s="213" t="s">
        <v>4836</v>
      </c>
      <c r="U218" s="213">
        <v>-6209</v>
      </c>
      <c r="V218" s="113">
        <v>273.79649999999998</v>
      </c>
      <c r="W218" s="113">
        <f t="shared" si="44"/>
        <v>-1700002.4685</v>
      </c>
      <c r="X218" s="99" t="s">
        <v>4847</v>
      </c>
      <c r="AH218" s="99">
        <v>15</v>
      </c>
      <c r="AI218" s="99" t="s">
        <v>4400</v>
      </c>
      <c r="AJ218" s="117">
        <v>33225</v>
      </c>
      <c r="AK218" s="99">
        <v>0</v>
      </c>
      <c r="AL218" s="99">
        <f t="shared" si="49"/>
        <v>266</v>
      </c>
      <c r="AM218" s="99">
        <f t="shared" si="48"/>
        <v>8837850</v>
      </c>
      <c r="AN218" s="99"/>
      <c r="AS218" t="s">
        <v>25</v>
      </c>
    </row>
    <row r="219" spans="17:45">
      <c r="Q219" s="99" t="s">
        <v>4662</v>
      </c>
      <c r="R219" s="95">
        <v>6650895</v>
      </c>
      <c r="T219" s="213" t="s">
        <v>4836</v>
      </c>
      <c r="U219" s="213">
        <v>-8014</v>
      </c>
      <c r="V219" s="113">
        <v>273.79649999999998</v>
      </c>
      <c r="W219" s="113">
        <f t="shared" si="44"/>
        <v>-2194205.1510000001</v>
      </c>
      <c r="X219" s="99" t="s">
        <v>751</v>
      </c>
      <c r="AH219" s="149">
        <v>16</v>
      </c>
      <c r="AI219" s="149" t="s">
        <v>4400</v>
      </c>
      <c r="AJ219" s="188">
        <v>4098523</v>
      </c>
      <c r="AK219" s="149">
        <v>2</v>
      </c>
      <c r="AL219" s="149">
        <f t="shared" si="49"/>
        <v>266</v>
      </c>
      <c r="AM219" s="149">
        <f t="shared" si="48"/>
        <v>1090207118</v>
      </c>
      <c r="AN219" s="149" t="s">
        <v>657</v>
      </c>
    </row>
    <row r="220" spans="17:45">
      <c r="Q220" s="99" t="s">
        <v>4685</v>
      </c>
      <c r="R220" s="95">
        <v>2145814</v>
      </c>
      <c r="T220" s="213" t="s">
        <v>4845</v>
      </c>
      <c r="U220" s="213">
        <v>-9176</v>
      </c>
      <c r="V220" s="113">
        <v>273.79649999999998</v>
      </c>
      <c r="W220" s="113">
        <f t="shared" si="44"/>
        <v>-2512356.6839999999</v>
      </c>
      <c r="X220" s="99" t="s">
        <v>452</v>
      </c>
      <c r="AH220" s="149">
        <v>17</v>
      </c>
      <c r="AI220" s="149" t="s">
        <v>4413</v>
      </c>
      <c r="AJ220" s="188">
        <v>-1000000</v>
      </c>
      <c r="AK220" s="149">
        <v>7</v>
      </c>
      <c r="AL220" s="149">
        <f t="shared" si="49"/>
        <v>264</v>
      </c>
      <c r="AM220" s="149">
        <f t="shared" si="48"/>
        <v>-264000000</v>
      </c>
      <c r="AN220" s="149" t="s">
        <v>657</v>
      </c>
    </row>
    <row r="221" spans="17:45">
      <c r="Q221" s="99" t="s">
        <v>4696</v>
      </c>
      <c r="R221" s="95">
        <v>4369730</v>
      </c>
      <c r="T221" s="213" t="s">
        <v>4845</v>
      </c>
      <c r="U221" s="213">
        <v>1087</v>
      </c>
      <c r="V221" s="113">
        <v>273.79649999999998</v>
      </c>
      <c r="W221" s="113">
        <f t="shared" si="44"/>
        <v>297616.79550000001</v>
      </c>
      <c r="X221" s="99" t="s">
        <v>452</v>
      </c>
      <c r="AH221" s="149">
        <v>18</v>
      </c>
      <c r="AI221" s="149" t="s">
        <v>4433</v>
      </c>
      <c r="AJ221" s="188">
        <v>750000</v>
      </c>
      <c r="AK221" s="149">
        <v>1</v>
      </c>
      <c r="AL221" s="149">
        <f t="shared" si="49"/>
        <v>257</v>
      </c>
      <c r="AM221" s="149">
        <f t="shared" si="48"/>
        <v>192750000</v>
      </c>
      <c r="AN221" s="149" t="s">
        <v>657</v>
      </c>
    </row>
    <row r="222" spans="17:45">
      <c r="Q222" s="99" t="s">
        <v>4698</v>
      </c>
      <c r="R222" s="95">
        <v>8739459</v>
      </c>
      <c r="S222" t="s">
        <v>25</v>
      </c>
      <c r="T222" s="213" t="s">
        <v>980</v>
      </c>
      <c r="U222" s="213">
        <v>-4017</v>
      </c>
      <c r="V222" s="113">
        <v>273.79649999999998</v>
      </c>
      <c r="W222" s="113">
        <f t="shared" si="44"/>
        <v>-1099840.5404999999</v>
      </c>
      <c r="X222" s="99" t="s">
        <v>4444</v>
      </c>
      <c r="AH222" s="195">
        <v>19</v>
      </c>
      <c r="AI222" s="195" t="s">
        <v>4435</v>
      </c>
      <c r="AJ222" s="196">
        <v>-604152</v>
      </c>
      <c r="AK222" s="195">
        <v>0</v>
      </c>
      <c r="AL222" s="195">
        <f t="shared" si="49"/>
        <v>256</v>
      </c>
      <c r="AM222" s="195">
        <f t="shared" si="48"/>
        <v>-154662912</v>
      </c>
      <c r="AN222" s="195" t="s">
        <v>657</v>
      </c>
    </row>
    <row r="223" spans="17:45">
      <c r="Q223" s="99" t="s">
        <v>4707</v>
      </c>
      <c r="R223" s="95">
        <v>6667654</v>
      </c>
      <c r="T223" s="213" t="s">
        <v>980</v>
      </c>
      <c r="U223" s="213">
        <v>4017</v>
      </c>
      <c r="V223" s="113">
        <v>273.79649999999998</v>
      </c>
      <c r="W223" s="113">
        <f t="shared" si="44"/>
        <v>1099840.5404999999</v>
      </c>
      <c r="X223" s="99" t="s">
        <v>452</v>
      </c>
      <c r="AH223" s="99">
        <v>20</v>
      </c>
      <c r="AI223" s="99" t="s">
        <v>4436</v>
      </c>
      <c r="AJ223" s="117">
        <v>-587083</v>
      </c>
      <c r="AK223" s="99">
        <v>4</v>
      </c>
      <c r="AL223" s="99">
        <f t="shared" si="49"/>
        <v>256</v>
      </c>
      <c r="AM223" s="99">
        <f t="shared" si="48"/>
        <v>-150293248</v>
      </c>
      <c r="AN223" s="99"/>
    </row>
    <row r="224" spans="17:45">
      <c r="Q224" s="99" t="s">
        <v>4715</v>
      </c>
      <c r="R224" s="95">
        <v>8981245</v>
      </c>
      <c r="T224" s="213" t="s">
        <v>4853</v>
      </c>
      <c r="U224" s="213">
        <v>3137</v>
      </c>
      <c r="V224" s="113">
        <v>283.69110000000001</v>
      </c>
      <c r="W224" s="113">
        <f t="shared" si="44"/>
        <v>889938.98070000007</v>
      </c>
      <c r="X224" s="99" t="s">
        <v>452</v>
      </c>
      <c r="Z224" t="s">
        <v>25</v>
      </c>
      <c r="AH224" s="195">
        <v>21</v>
      </c>
      <c r="AI224" s="195" t="s">
        <v>4437</v>
      </c>
      <c r="AJ224" s="196">
        <v>-754351</v>
      </c>
      <c r="AK224" s="195">
        <v>0</v>
      </c>
      <c r="AL224" s="149">
        <f t="shared" si="49"/>
        <v>252</v>
      </c>
      <c r="AM224" s="195">
        <f t="shared" si="48"/>
        <v>-190096452</v>
      </c>
      <c r="AN224" s="195" t="s">
        <v>657</v>
      </c>
    </row>
    <row r="225" spans="17:44">
      <c r="Q225" s="99" t="s">
        <v>4720</v>
      </c>
      <c r="R225" s="95">
        <v>9181756</v>
      </c>
      <c r="T225" s="213" t="s">
        <v>4866</v>
      </c>
      <c r="U225" s="213">
        <v>101933</v>
      </c>
      <c r="V225" s="113">
        <v>294.30973999999998</v>
      </c>
      <c r="W225" s="113">
        <f t="shared" si="44"/>
        <v>29999874.727419998</v>
      </c>
      <c r="X225" s="99" t="s">
        <v>1086</v>
      </c>
      <c r="AH225" s="99">
        <v>22</v>
      </c>
      <c r="AI225" s="99" t="s">
        <v>4437</v>
      </c>
      <c r="AJ225" s="117">
        <v>-189619</v>
      </c>
      <c r="AK225" s="99">
        <v>15</v>
      </c>
      <c r="AL225" s="99">
        <f t="shared" si="49"/>
        <v>252</v>
      </c>
      <c r="AM225" s="99">
        <f t="shared" si="48"/>
        <v>-47783988</v>
      </c>
      <c r="AN225" s="99"/>
    </row>
    <row r="226" spans="17:44">
      <c r="Q226" s="99" t="s">
        <v>4724</v>
      </c>
      <c r="R226" s="95">
        <v>11811208</v>
      </c>
      <c r="S226" t="s">
        <v>25</v>
      </c>
      <c r="T226" s="213" t="s">
        <v>4873</v>
      </c>
      <c r="U226" s="213">
        <v>3407</v>
      </c>
      <c r="V226" s="113">
        <v>293.43799999999999</v>
      </c>
      <c r="W226" s="113">
        <f t="shared" si="44"/>
        <v>999743.26599999995</v>
      </c>
      <c r="X226" s="99" t="s">
        <v>452</v>
      </c>
      <c r="Y226" t="s">
        <v>25</v>
      </c>
      <c r="AH226" s="195">
        <v>23</v>
      </c>
      <c r="AI226" s="195" t="s">
        <v>4509</v>
      </c>
      <c r="AJ226" s="188">
        <v>7100</v>
      </c>
      <c r="AK226" s="195">
        <v>0</v>
      </c>
      <c r="AL226" s="149">
        <f t="shared" si="49"/>
        <v>237</v>
      </c>
      <c r="AM226" s="195">
        <f t="shared" si="48"/>
        <v>1682700</v>
      </c>
      <c r="AN226" s="195" t="s">
        <v>657</v>
      </c>
    </row>
    <row r="227" spans="17:44">
      <c r="Q227" s="99" t="s">
        <v>4738</v>
      </c>
      <c r="R227" s="95">
        <v>41248054</v>
      </c>
      <c r="S227" t="s">
        <v>25</v>
      </c>
      <c r="T227" s="213" t="s">
        <v>4874</v>
      </c>
      <c r="U227" s="213">
        <v>68796</v>
      </c>
      <c r="V227" s="113">
        <v>293.53250000000003</v>
      </c>
      <c r="W227" s="113">
        <f t="shared" si="44"/>
        <v>20193861.870000001</v>
      </c>
      <c r="X227" s="99" t="s">
        <v>751</v>
      </c>
      <c r="AH227" s="20">
        <v>24</v>
      </c>
      <c r="AI227" s="20" t="s">
        <v>4509</v>
      </c>
      <c r="AJ227" s="117">
        <v>-147902</v>
      </c>
      <c r="AK227" s="20">
        <v>3</v>
      </c>
      <c r="AL227" s="99">
        <f t="shared" si="49"/>
        <v>237</v>
      </c>
      <c r="AM227" s="20">
        <f t="shared" si="48"/>
        <v>-35052774</v>
      </c>
      <c r="AN227" s="20"/>
    </row>
    <row r="228" spans="17:44">
      <c r="Q228" s="99" t="s">
        <v>4746</v>
      </c>
      <c r="R228" s="95">
        <v>37328780</v>
      </c>
      <c r="T228" s="213" t="s">
        <v>4874</v>
      </c>
      <c r="U228" s="213">
        <v>154791</v>
      </c>
      <c r="V228" s="113">
        <v>293.53250000000003</v>
      </c>
      <c r="W228" s="113">
        <f t="shared" si="44"/>
        <v>45436189.207500003</v>
      </c>
      <c r="X228" s="99" t="s">
        <v>452</v>
      </c>
      <c r="Y228" s="96"/>
      <c r="AH228" s="149">
        <v>25</v>
      </c>
      <c r="AI228" s="149" t="s">
        <v>4517</v>
      </c>
      <c r="AJ228" s="188">
        <v>-37200</v>
      </c>
      <c r="AK228" s="149">
        <v>4</v>
      </c>
      <c r="AL228" s="149">
        <f t="shared" si="49"/>
        <v>234</v>
      </c>
      <c r="AM228" s="195">
        <f t="shared" si="48"/>
        <v>-8704800</v>
      </c>
      <c r="AN228" s="149" t="s">
        <v>657</v>
      </c>
    </row>
    <row r="229" spans="17:44">
      <c r="Q229" s="99" t="s">
        <v>4836</v>
      </c>
      <c r="R229" s="95">
        <v>-2194100</v>
      </c>
      <c r="T229" s="213" t="s">
        <v>4874</v>
      </c>
      <c r="U229" s="213">
        <v>-11923</v>
      </c>
      <c r="V229" s="113">
        <v>293.53250000000003</v>
      </c>
      <c r="W229" s="113">
        <f t="shared" si="44"/>
        <v>-3499787.9975000005</v>
      </c>
      <c r="X229" s="99" t="s">
        <v>452</v>
      </c>
      <c r="Y229" t="s">
        <v>25</v>
      </c>
      <c r="AH229" s="99">
        <v>26</v>
      </c>
      <c r="AI229" s="99" t="s">
        <v>4548</v>
      </c>
      <c r="AJ229" s="117">
        <v>-372326</v>
      </c>
      <c r="AK229" s="99">
        <v>21</v>
      </c>
      <c r="AL229" s="99">
        <f t="shared" si="49"/>
        <v>230</v>
      </c>
      <c r="AM229" s="20">
        <f t="shared" si="48"/>
        <v>-85634980</v>
      </c>
      <c r="AN229" s="99"/>
    </row>
    <row r="230" spans="17:44">
      <c r="Q230" s="99" t="s">
        <v>4874</v>
      </c>
      <c r="R230" s="95">
        <v>20193916</v>
      </c>
      <c r="T230" s="213" t="s">
        <v>4889</v>
      </c>
      <c r="U230" s="213">
        <v>8424</v>
      </c>
      <c r="V230" s="113">
        <v>299.15170000000001</v>
      </c>
      <c r="W230" s="113">
        <f t="shared" si="44"/>
        <v>2520053.9208</v>
      </c>
      <c r="X230" s="99" t="s">
        <v>452</v>
      </c>
      <c r="AH230" s="99">
        <v>27</v>
      </c>
      <c r="AI230" s="99" t="s">
        <v>4600</v>
      </c>
      <c r="AJ230" s="117">
        <v>235062</v>
      </c>
      <c r="AK230" s="99">
        <v>0</v>
      </c>
      <c r="AL230" s="99">
        <f t="shared" si="49"/>
        <v>209</v>
      </c>
      <c r="AM230" s="20">
        <f t="shared" si="48"/>
        <v>49127958</v>
      </c>
      <c r="AN230" s="99"/>
      <c r="AQ230" t="s">
        <v>25</v>
      </c>
    </row>
    <row r="231" spans="17:44">
      <c r="Q231" s="99" t="s">
        <v>4952</v>
      </c>
      <c r="R231" s="95">
        <v>-2000000</v>
      </c>
      <c r="T231" s="213" t="s">
        <v>4925</v>
      </c>
      <c r="U231" s="213">
        <v>15943</v>
      </c>
      <c r="V231" s="113">
        <v>307.34415000000001</v>
      </c>
      <c r="W231" s="113">
        <f t="shared" si="44"/>
        <v>4899987.78345</v>
      </c>
      <c r="X231" s="99" t="s">
        <v>452</v>
      </c>
      <c r="AH231" s="149">
        <v>28</v>
      </c>
      <c r="AI231" s="149" t="s">
        <v>4600</v>
      </c>
      <c r="AJ231" s="188">
        <v>235062</v>
      </c>
      <c r="AK231" s="149">
        <v>9</v>
      </c>
      <c r="AL231" s="99">
        <f t="shared" si="49"/>
        <v>209</v>
      </c>
      <c r="AM231" s="149">
        <f t="shared" si="48"/>
        <v>49127958</v>
      </c>
      <c r="AN231" s="149" t="s">
        <v>657</v>
      </c>
    </row>
    <row r="232" spans="17:44">
      <c r="Q232" s="99" t="s">
        <v>5036</v>
      </c>
      <c r="R232" s="95">
        <v>6800000</v>
      </c>
      <c r="S232" t="s">
        <v>25</v>
      </c>
      <c r="T232" s="213" t="s">
        <v>4946</v>
      </c>
      <c r="U232" s="213">
        <v>3741</v>
      </c>
      <c r="V232" s="113">
        <v>307.34415000000001</v>
      </c>
      <c r="W232" s="113">
        <f t="shared" si="44"/>
        <v>1149774.4651500001</v>
      </c>
      <c r="X232" s="99" t="s">
        <v>452</v>
      </c>
      <c r="AH232" s="149">
        <v>29</v>
      </c>
      <c r="AI232" s="149" t="s">
        <v>4624</v>
      </c>
      <c r="AJ232" s="188">
        <v>450000</v>
      </c>
      <c r="AK232" s="149">
        <v>0</v>
      </c>
      <c r="AL232" s="99">
        <f t="shared" si="49"/>
        <v>200</v>
      </c>
      <c r="AM232" s="149">
        <f t="shared" si="48"/>
        <v>90000000</v>
      </c>
      <c r="AN232" s="149" t="s">
        <v>657</v>
      </c>
    </row>
    <row r="233" spans="17:44">
      <c r="Q233" s="99" t="s">
        <v>5052</v>
      </c>
      <c r="R233" s="95">
        <v>850000</v>
      </c>
      <c r="T233" s="213" t="s">
        <v>4952</v>
      </c>
      <c r="U233" s="213">
        <v>-6207</v>
      </c>
      <c r="V233" s="113">
        <v>322.214</v>
      </c>
      <c r="W233" s="113">
        <f t="shared" si="44"/>
        <v>-1999982.298</v>
      </c>
      <c r="X233" s="99" t="s">
        <v>751</v>
      </c>
      <c r="Y233" t="s">
        <v>25</v>
      </c>
      <c r="AH233" s="20">
        <v>30</v>
      </c>
      <c r="AI233" s="20" t="s">
        <v>4624</v>
      </c>
      <c r="AJ233" s="117">
        <v>450000</v>
      </c>
      <c r="AK233" s="20">
        <v>22</v>
      </c>
      <c r="AL233" s="99">
        <f>AK233+AL234</f>
        <v>200</v>
      </c>
      <c r="AM233" s="20">
        <f t="shared" si="48"/>
        <v>90000000</v>
      </c>
      <c r="AN233" s="20"/>
    </row>
    <row r="234" spans="17:44">
      <c r="Q234" s="99" t="s">
        <v>5062</v>
      </c>
      <c r="R234" s="95">
        <v>2290500</v>
      </c>
      <c r="T234" s="213" t="s">
        <v>4952</v>
      </c>
      <c r="U234" s="213">
        <v>6207</v>
      </c>
      <c r="V234" s="113">
        <v>322.214</v>
      </c>
      <c r="W234" s="113">
        <f t="shared" si="44"/>
        <v>1999982.298</v>
      </c>
      <c r="X234" s="99" t="s">
        <v>4444</v>
      </c>
      <c r="AH234" s="149">
        <v>31</v>
      </c>
      <c r="AI234" s="149" t="s">
        <v>4698</v>
      </c>
      <c r="AJ234" s="188">
        <v>300000</v>
      </c>
      <c r="AK234" s="149">
        <v>0</v>
      </c>
      <c r="AL234" s="149">
        <f t="shared" ref="AL234:AL249" si="50">AK234+AL235</f>
        <v>178</v>
      </c>
      <c r="AM234" s="149">
        <f t="shared" ref="AM234:AM237" si="51">AJ234*AL234</f>
        <v>53400000</v>
      </c>
      <c r="AN234" s="149"/>
    </row>
    <row r="235" spans="17:44" ht="30">
      <c r="Q235" s="99" t="s">
        <v>5078</v>
      </c>
      <c r="R235" s="95">
        <v>400000</v>
      </c>
      <c r="S235" t="s">
        <v>25</v>
      </c>
      <c r="T235" s="213" t="s">
        <v>4897</v>
      </c>
      <c r="U235" s="213">
        <v>776</v>
      </c>
      <c r="V235" s="113">
        <v>322.214</v>
      </c>
      <c r="W235" s="113">
        <f t="shared" si="44"/>
        <v>250038.06400000001</v>
      </c>
      <c r="X235" s="99" t="s">
        <v>452</v>
      </c>
      <c r="Z235" t="s">
        <v>25</v>
      </c>
      <c r="AA235" t="s">
        <v>25</v>
      </c>
      <c r="AH235" s="121">
        <v>32</v>
      </c>
      <c r="AI235" s="121" t="s">
        <v>4698</v>
      </c>
      <c r="AJ235" s="79">
        <v>288936</v>
      </c>
      <c r="AK235" s="121">
        <v>3</v>
      </c>
      <c r="AL235" s="121">
        <f t="shared" si="50"/>
        <v>178</v>
      </c>
      <c r="AM235" s="121">
        <f t="shared" si="51"/>
        <v>51430608</v>
      </c>
      <c r="AN235" s="205" t="s">
        <v>4709</v>
      </c>
    </row>
    <row r="236" spans="17:44">
      <c r="Q236" s="99" t="s">
        <v>5085</v>
      </c>
      <c r="R236" s="95">
        <v>150000</v>
      </c>
      <c r="T236" s="213" t="s">
        <v>4979</v>
      </c>
      <c r="U236" s="213">
        <v>1524</v>
      </c>
      <c r="V236" s="113">
        <v>314.95999999999998</v>
      </c>
      <c r="W236" s="113">
        <f t="shared" si="44"/>
        <v>479999.04</v>
      </c>
      <c r="X236" s="99" t="s">
        <v>1086</v>
      </c>
      <c r="AH236" s="121">
        <v>33</v>
      </c>
      <c r="AI236" s="121" t="s">
        <v>4707</v>
      </c>
      <c r="AJ236" s="79">
        <v>17962491</v>
      </c>
      <c r="AK236" s="121">
        <v>1</v>
      </c>
      <c r="AL236" s="121">
        <f t="shared" si="50"/>
        <v>175</v>
      </c>
      <c r="AM236" s="121">
        <f t="shared" si="51"/>
        <v>3143435925</v>
      </c>
      <c r="AN236" s="121" t="s">
        <v>4714</v>
      </c>
    </row>
    <row r="237" spans="17:44">
      <c r="Q237" s="99" t="s">
        <v>5179</v>
      </c>
      <c r="R237" s="95">
        <v>320000</v>
      </c>
      <c r="T237" s="213" t="s">
        <v>4988</v>
      </c>
      <c r="U237" s="213">
        <v>4435</v>
      </c>
      <c r="V237" s="113">
        <v>316.4375</v>
      </c>
      <c r="W237" s="113">
        <f t="shared" si="44"/>
        <v>1403400.3125</v>
      </c>
      <c r="X237" s="99" t="s">
        <v>452</v>
      </c>
      <c r="Y237" t="s">
        <v>25</v>
      </c>
      <c r="AH237" s="121">
        <v>34</v>
      </c>
      <c r="AI237" s="121" t="s">
        <v>3683</v>
      </c>
      <c r="AJ237" s="79">
        <v>18363511</v>
      </c>
      <c r="AK237" s="121">
        <v>1</v>
      </c>
      <c r="AL237" s="121">
        <f t="shared" si="50"/>
        <v>174</v>
      </c>
      <c r="AM237" s="121">
        <f t="shared" si="51"/>
        <v>3195250914</v>
      </c>
      <c r="AN237" s="121" t="s">
        <v>4714</v>
      </c>
    </row>
    <row r="238" spans="17:44">
      <c r="Q238" s="99" t="s">
        <v>5185</v>
      </c>
      <c r="R238" s="95">
        <v>500000</v>
      </c>
      <c r="T238" s="213" t="s">
        <v>4993</v>
      </c>
      <c r="U238" s="213">
        <v>624</v>
      </c>
      <c r="V238" s="113">
        <v>320.5</v>
      </c>
      <c r="W238" s="113">
        <f t="shared" si="44"/>
        <v>199992</v>
      </c>
      <c r="X238" s="99" t="s">
        <v>452</v>
      </c>
      <c r="AH238" s="121">
        <v>35</v>
      </c>
      <c r="AI238" s="121" t="s">
        <v>4720</v>
      </c>
      <c r="AJ238" s="79">
        <v>23622417</v>
      </c>
      <c r="AK238" s="121">
        <v>5</v>
      </c>
      <c r="AL238" s="121">
        <f t="shared" si="50"/>
        <v>173</v>
      </c>
      <c r="AM238" s="121">
        <f t="shared" ref="AM238:AM241" si="52">AJ238*AL238</f>
        <v>4086678141</v>
      </c>
      <c r="AN238" s="121" t="s">
        <v>4723</v>
      </c>
      <c r="AR238" t="s">
        <v>25</v>
      </c>
    </row>
    <row r="239" spans="17:44">
      <c r="Q239" s="99"/>
      <c r="R239" s="95"/>
      <c r="S239" t="s">
        <v>25</v>
      </c>
      <c r="T239" s="213" t="s">
        <v>5000</v>
      </c>
      <c r="U239" s="213">
        <v>1086</v>
      </c>
      <c r="V239" s="113">
        <v>317.55</v>
      </c>
      <c r="W239" s="113">
        <f t="shared" si="44"/>
        <v>344859.3</v>
      </c>
      <c r="X239" s="99" t="s">
        <v>452</v>
      </c>
      <c r="AH239" s="121">
        <v>36</v>
      </c>
      <c r="AI239" s="121" t="s">
        <v>4736</v>
      </c>
      <c r="AJ239" s="79">
        <v>82496108</v>
      </c>
      <c r="AK239" s="121">
        <v>1</v>
      </c>
      <c r="AL239" s="121">
        <f t="shared" si="50"/>
        <v>168</v>
      </c>
      <c r="AM239" s="121">
        <f t="shared" si="52"/>
        <v>13859346144</v>
      </c>
      <c r="AN239" s="121" t="s">
        <v>4739</v>
      </c>
      <c r="AR239" t="s">
        <v>25</v>
      </c>
    </row>
    <row r="240" spans="17:44">
      <c r="Q240" s="99"/>
      <c r="R240" s="95">
        <f>SUM(R209:R239)</f>
        <v>435546775</v>
      </c>
      <c r="T240" s="213" t="s">
        <v>5006</v>
      </c>
      <c r="U240" s="213">
        <v>2820</v>
      </c>
      <c r="V240" s="113">
        <v>319.1096</v>
      </c>
      <c r="W240" s="113">
        <f t="shared" si="44"/>
        <v>899889.07200000004</v>
      </c>
      <c r="X240" s="99" t="s">
        <v>452</v>
      </c>
      <c r="AH240" s="121">
        <v>37</v>
      </c>
      <c r="AI240" s="121" t="s">
        <v>4738</v>
      </c>
      <c r="AJ240" s="79">
        <v>74657561</v>
      </c>
      <c r="AK240" s="121">
        <v>16</v>
      </c>
      <c r="AL240" s="121">
        <f t="shared" si="50"/>
        <v>167</v>
      </c>
      <c r="AM240" s="121">
        <f t="shared" si="52"/>
        <v>12467812687</v>
      </c>
      <c r="AN240" s="121" t="s">
        <v>4745</v>
      </c>
    </row>
    <row r="241" spans="16:43">
      <c r="P241" t="s">
        <v>25</v>
      </c>
      <c r="Q241" s="99"/>
      <c r="R241" s="99" t="s">
        <v>6</v>
      </c>
      <c r="S241" t="s">
        <v>25</v>
      </c>
      <c r="T241" s="213" t="s">
        <v>5010</v>
      </c>
      <c r="U241" s="213">
        <v>1145</v>
      </c>
      <c r="V241" s="113">
        <v>325.44</v>
      </c>
      <c r="W241" s="113">
        <f t="shared" si="44"/>
        <v>372628.8</v>
      </c>
      <c r="X241" s="99" t="s">
        <v>452</v>
      </c>
      <c r="AH241" s="99">
        <v>38</v>
      </c>
      <c r="AI241" s="99" t="s">
        <v>4817</v>
      </c>
      <c r="AJ241" s="117">
        <v>665000</v>
      </c>
      <c r="AK241" s="99">
        <v>0</v>
      </c>
      <c r="AL241" s="99">
        <f t="shared" si="50"/>
        <v>151</v>
      </c>
      <c r="AM241" s="20">
        <f t="shared" si="52"/>
        <v>100415000</v>
      </c>
      <c r="AN241" s="99"/>
    </row>
    <row r="242" spans="16:43">
      <c r="T242" s="213" t="s">
        <v>5022</v>
      </c>
      <c r="U242" s="213">
        <v>20153</v>
      </c>
      <c r="V242" s="113">
        <v>322</v>
      </c>
      <c r="W242" s="113">
        <f t="shared" si="44"/>
        <v>6489266</v>
      </c>
      <c r="X242" s="99" t="s">
        <v>452</v>
      </c>
      <c r="AH242" s="149">
        <v>39</v>
      </c>
      <c r="AI242" s="149" t="s">
        <v>4817</v>
      </c>
      <c r="AJ242" s="188">
        <v>665000</v>
      </c>
      <c r="AK242" s="149">
        <v>4</v>
      </c>
      <c r="AL242" s="195">
        <f t="shared" si="50"/>
        <v>151</v>
      </c>
      <c r="AM242" s="195">
        <f t="shared" ref="AM242:AM243" si="53">AJ242*AL242</f>
        <v>100415000</v>
      </c>
      <c r="AN242" s="195"/>
    </row>
    <row r="243" spans="16:43">
      <c r="T243" s="213" t="s">
        <v>5036</v>
      </c>
      <c r="U243" s="213">
        <v>93720</v>
      </c>
      <c r="V243" s="113">
        <v>325.435</v>
      </c>
      <c r="W243" s="113">
        <f t="shared" si="44"/>
        <v>30499768.199999999</v>
      </c>
      <c r="X243" s="99" t="s">
        <v>1086</v>
      </c>
      <c r="AH243" s="20">
        <v>40</v>
      </c>
      <c r="AI243" s="20" t="s">
        <v>4831</v>
      </c>
      <c r="AJ243" s="117">
        <v>2000000</v>
      </c>
      <c r="AK243" s="20">
        <v>1</v>
      </c>
      <c r="AL243" s="99">
        <f t="shared" si="50"/>
        <v>147</v>
      </c>
      <c r="AM243" s="20">
        <f t="shared" si="53"/>
        <v>294000000</v>
      </c>
      <c r="AN243" s="99"/>
    </row>
    <row r="244" spans="16:43">
      <c r="Q244" s="99" t="s">
        <v>452</v>
      </c>
      <c r="R244" s="99"/>
      <c r="T244" s="213" t="s">
        <v>5036</v>
      </c>
      <c r="U244" s="213">
        <v>20895</v>
      </c>
      <c r="V244" s="113">
        <v>325.435</v>
      </c>
      <c r="W244" s="113">
        <f t="shared" si="44"/>
        <v>6799964.3250000002</v>
      </c>
      <c r="X244" s="99" t="s">
        <v>751</v>
      </c>
      <c r="AH244" s="20">
        <v>41</v>
      </c>
      <c r="AI244" s="20" t="s">
        <v>4836</v>
      </c>
      <c r="AJ244" s="117">
        <v>-2060725</v>
      </c>
      <c r="AK244" s="20">
        <v>0</v>
      </c>
      <c r="AL244" s="99">
        <f t="shared" si="50"/>
        <v>146</v>
      </c>
      <c r="AM244" s="20">
        <f t="shared" ref="AM244:AM249" si="54">AJ244*AL244</f>
        <v>-300865850</v>
      </c>
      <c r="AN244" s="99" t="s">
        <v>4837</v>
      </c>
    </row>
    <row r="245" spans="16:43">
      <c r="Q245" s="99" t="s">
        <v>4437</v>
      </c>
      <c r="R245" s="95">
        <v>63115000</v>
      </c>
      <c r="T245" s="213" t="s">
        <v>5052</v>
      </c>
      <c r="U245" s="213">
        <v>2611</v>
      </c>
      <c r="V245" s="113">
        <v>325.435</v>
      </c>
      <c r="W245" s="113">
        <f t="shared" si="44"/>
        <v>849710.78500000003</v>
      </c>
      <c r="X245" s="99" t="s">
        <v>751</v>
      </c>
      <c r="AH245" s="149">
        <v>42</v>
      </c>
      <c r="AI245" s="149" t="s">
        <v>4836</v>
      </c>
      <c r="AJ245" s="188">
        <v>-433375</v>
      </c>
      <c r="AK245" s="149">
        <v>0</v>
      </c>
      <c r="AL245" s="149">
        <f t="shared" si="50"/>
        <v>146</v>
      </c>
      <c r="AM245" s="149">
        <f t="shared" si="54"/>
        <v>-63272750</v>
      </c>
      <c r="AN245" s="149" t="s">
        <v>4838</v>
      </c>
    </row>
    <row r="246" spans="16:43">
      <c r="Q246" s="99" t="s">
        <v>4491</v>
      </c>
      <c r="R246" s="95">
        <v>13300000</v>
      </c>
      <c r="T246" s="213" t="s">
        <v>5062</v>
      </c>
      <c r="U246" s="213">
        <v>6750</v>
      </c>
      <c r="V246" s="113">
        <v>339.3</v>
      </c>
      <c r="W246" s="113">
        <f t="shared" si="44"/>
        <v>2290275</v>
      </c>
      <c r="X246" s="99" t="s">
        <v>751</v>
      </c>
      <c r="AH246" s="20">
        <v>43</v>
      </c>
      <c r="AI246" s="20" t="s">
        <v>4836</v>
      </c>
      <c r="AJ246" s="117">
        <v>28000000</v>
      </c>
      <c r="AK246" s="20">
        <v>1</v>
      </c>
      <c r="AL246" s="99">
        <f t="shared" si="50"/>
        <v>146</v>
      </c>
      <c r="AM246" s="20">
        <f t="shared" si="54"/>
        <v>4088000000</v>
      </c>
      <c r="AN246" s="99" t="s">
        <v>3890</v>
      </c>
    </row>
    <row r="247" spans="16:43">
      <c r="Q247" s="99" t="s">
        <v>4499</v>
      </c>
      <c r="R247" s="95">
        <v>2269000</v>
      </c>
      <c r="T247" s="213" t="s">
        <v>5078</v>
      </c>
      <c r="U247" s="213">
        <v>1850</v>
      </c>
      <c r="V247" s="113">
        <v>334.10050000000001</v>
      </c>
      <c r="W247" s="113">
        <f t="shared" si="44"/>
        <v>618085.92500000005</v>
      </c>
      <c r="X247" s="99" t="s">
        <v>452</v>
      </c>
      <c r="AH247" s="20">
        <v>44</v>
      </c>
      <c r="AI247" s="20" t="s">
        <v>4845</v>
      </c>
      <c r="AJ247" s="117">
        <v>160000</v>
      </c>
      <c r="AK247" s="20">
        <v>0</v>
      </c>
      <c r="AL247" s="99">
        <f t="shared" si="50"/>
        <v>145</v>
      </c>
      <c r="AM247" s="20">
        <f t="shared" si="54"/>
        <v>23200000</v>
      </c>
      <c r="AN247" s="99"/>
    </row>
    <row r="248" spans="16:43">
      <c r="Q248" s="99" t="s">
        <v>4614</v>
      </c>
      <c r="R248" s="95">
        <v>25071612</v>
      </c>
      <c r="T248" s="213" t="s">
        <v>5078</v>
      </c>
      <c r="U248" s="213">
        <v>-1194</v>
      </c>
      <c r="V248" s="113">
        <v>335</v>
      </c>
      <c r="W248" s="113">
        <f t="shared" si="44"/>
        <v>-399990</v>
      </c>
      <c r="X248" s="99" t="s">
        <v>4444</v>
      </c>
      <c r="AH248" s="149">
        <v>45</v>
      </c>
      <c r="AI248" s="149" t="s">
        <v>4845</v>
      </c>
      <c r="AJ248" s="188">
        <v>70000</v>
      </c>
      <c r="AK248" s="149">
        <v>9</v>
      </c>
      <c r="AL248" s="149">
        <f t="shared" si="50"/>
        <v>145</v>
      </c>
      <c r="AM248" s="149">
        <f t="shared" si="54"/>
        <v>10150000</v>
      </c>
      <c r="AN248" s="149"/>
    </row>
    <row r="249" spans="16:43">
      <c r="Q249" s="99" t="s">
        <v>4623</v>
      </c>
      <c r="R249" s="95">
        <v>42236984</v>
      </c>
      <c r="T249" s="213" t="s">
        <v>5078</v>
      </c>
      <c r="U249" s="213">
        <v>1194</v>
      </c>
      <c r="V249" s="113">
        <v>335</v>
      </c>
      <c r="W249" s="113">
        <f t="shared" si="44"/>
        <v>399990</v>
      </c>
      <c r="X249" s="99" t="s">
        <v>751</v>
      </c>
      <c r="AH249" s="20">
        <v>46</v>
      </c>
      <c r="AI249" s="20" t="s">
        <v>4853</v>
      </c>
      <c r="AJ249" s="117">
        <v>850000</v>
      </c>
      <c r="AK249" s="20">
        <v>0</v>
      </c>
      <c r="AL249" s="99">
        <f t="shared" si="50"/>
        <v>136</v>
      </c>
      <c r="AM249" s="20">
        <f t="shared" si="54"/>
        <v>115600000</v>
      </c>
      <c r="AN249" s="99"/>
      <c r="AP249" t="s">
        <v>25</v>
      </c>
    </row>
    <row r="250" spans="16:43">
      <c r="Q250" s="99" t="s">
        <v>4624</v>
      </c>
      <c r="R250" s="95">
        <v>19663646</v>
      </c>
      <c r="T250" s="213" t="s">
        <v>5085</v>
      </c>
      <c r="U250" s="213">
        <v>433</v>
      </c>
      <c r="V250" s="113">
        <v>345.68</v>
      </c>
      <c r="W250" s="113">
        <f t="shared" si="44"/>
        <v>149679.44</v>
      </c>
      <c r="X250" s="99" t="s">
        <v>751</v>
      </c>
      <c r="Y250" t="s">
        <v>25</v>
      </c>
      <c r="AH250" s="195">
        <v>47</v>
      </c>
      <c r="AI250" s="195" t="s">
        <v>4853</v>
      </c>
      <c r="AJ250" s="196">
        <v>20000</v>
      </c>
      <c r="AK250" s="195">
        <v>4</v>
      </c>
      <c r="AL250" s="195">
        <f t="shared" ref="AL250:AL258" si="55">AK250+AL251</f>
        <v>136</v>
      </c>
      <c r="AM250" s="195">
        <f t="shared" ref="AM250:AM258" si="56">AJ250*AL250</f>
        <v>2720000</v>
      </c>
      <c r="AN250" s="195"/>
    </row>
    <row r="251" spans="16:43">
      <c r="Q251" s="99" t="s">
        <v>4648</v>
      </c>
      <c r="R251" s="95">
        <v>4374525</v>
      </c>
      <c r="T251" s="213" t="s">
        <v>5092</v>
      </c>
      <c r="U251" s="213">
        <v>55459</v>
      </c>
      <c r="V251" s="113">
        <v>362.51978000000003</v>
      </c>
      <c r="W251" s="113">
        <f t="shared" si="44"/>
        <v>20104984.479020003</v>
      </c>
      <c r="X251" s="99" t="s">
        <v>452</v>
      </c>
      <c r="Y251" t="s">
        <v>25</v>
      </c>
      <c r="AH251" s="195">
        <v>48</v>
      </c>
      <c r="AI251" s="195" t="s">
        <v>4866</v>
      </c>
      <c r="AJ251" s="196">
        <v>30000000</v>
      </c>
      <c r="AK251" s="195">
        <v>27</v>
      </c>
      <c r="AL251" s="195">
        <f t="shared" si="55"/>
        <v>132</v>
      </c>
      <c r="AM251" s="195">
        <f t="shared" si="56"/>
        <v>3960000000</v>
      </c>
      <c r="AN251" s="195" t="s">
        <v>4867</v>
      </c>
    </row>
    <row r="252" spans="16:43">
      <c r="Q252" s="99" t="s">
        <v>4660</v>
      </c>
      <c r="R252" s="95">
        <v>6550580</v>
      </c>
      <c r="T252" s="213" t="s">
        <v>5097</v>
      </c>
      <c r="U252" s="213">
        <v>-57212</v>
      </c>
      <c r="V252" s="113">
        <v>368.45400000000001</v>
      </c>
      <c r="W252" s="113">
        <f t="shared" si="44"/>
        <v>-21079990.248</v>
      </c>
      <c r="X252" s="99" t="s">
        <v>452</v>
      </c>
      <c r="AH252" s="20">
        <v>49</v>
      </c>
      <c r="AI252" s="20" t="s">
        <v>4946</v>
      </c>
      <c r="AJ252" s="117">
        <v>1100000</v>
      </c>
      <c r="AK252" s="20">
        <v>1</v>
      </c>
      <c r="AL252" s="20">
        <f t="shared" si="55"/>
        <v>105</v>
      </c>
      <c r="AM252" s="20">
        <f t="shared" si="56"/>
        <v>115500000</v>
      </c>
      <c r="AN252" s="20"/>
    </row>
    <row r="253" spans="16:43">
      <c r="Q253" s="99" t="s">
        <v>4662</v>
      </c>
      <c r="R253" s="95">
        <v>7054895</v>
      </c>
      <c r="T253" s="213" t="s">
        <v>5100</v>
      </c>
      <c r="U253" s="213">
        <v>-15881</v>
      </c>
      <c r="V253" s="113">
        <v>374.61599999999999</v>
      </c>
      <c r="W253" s="113">
        <f t="shared" si="44"/>
        <v>-5949276.6959999995</v>
      </c>
      <c r="X253" s="99" t="s">
        <v>452</v>
      </c>
      <c r="AH253" s="20">
        <v>50</v>
      </c>
      <c r="AI253" s="20" t="s">
        <v>4948</v>
      </c>
      <c r="AJ253" s="117">
        <v>450000</v>
      </c>
      <c r="AK253" s="20">
        <v>0</v>
      </c>
      <c r="AL253" s="20">
        <f t="shared" si="55"/>
        <v>104</v>
      </c>
      <c r="AM253" s="20">
        <f t="shared" si="56"/>
        <v>46800000</v>
      </c>
      <c r="AN253" s="20"/>
      <c r="AQ253" t="s">
        <v>25</v>
      </c>
    </row>
    <row r="254" spans="16:43">
      <c r="Q254" s="99" t="s">
        <v>4685</v>
      </c>
      <c r="R254" s="95">
        <v>2145814</v>
      </c>
      <c r="T254" s="213" t="s">
        <v>5111</v>
      </c>
      <c r="U254" s="213">
        <v>-41289</v>
      </c>
      <c r="V254" s="113">
        <v>372.27</v>
      </c>
      <c r="W254" s="113">
        <f t="shared" si="44"/>
        <v>-15370656.029999999</v>
      </c>
      <c r="X254" s="99" t="s">
        <v>452</v>
      </c>
      <c r="AH254" s="149">
        <v>51</v>
      </c>
      <c r="AI254" s="149" t="s">
        <v>4948</v>
      </c>
      <c r="AJ254" s="188">
        <v>550000</v>
      </c>
      <c r="AK254" s="149">
        <v>1</v>
      </c>
      <c r="AL254" s="149">
        <f t="shared" si="55"/>
        <v>104</v>
      </c>
      <c r="AM254" s="149">
        <f t="shared" si="56"/>
        <v>57200000</v>
      </c>
      <c r="AN254" s="149"/>
    </row>
    <row r="255" spans="16:43">
      <c r="Q255" s="99" t="s">
        <v>4696</v>
      </c>
      <c r="R255" s="95">
        <v>4369730</v>
      </c>
      <c r="T255" s="213" t="s">
        <v>5118</v>
      </c>
      <c r="U255" s="213">
        <v>13563</v>
      </c>
      <c r="V255" s="113">
        <v>365.69799999999998</v>
      </c>
      <c r="W255" s="113">
        <f t="shared" si="44"/>
        <v>4959961.9739999995</v>
      </c>
      <c r="X255" s="99" t="s">
        <v>452</v>
      </c>
      <c r="AH255" s="149">
        <v>52</v>
      </c>
      <c r="AI255" s="149" t="s">
        <v>4950</v>
      </c>
      <c r="AJ255" s="188">
        <v>1000000</v>
      </c>
      <c r="AK255" s="149">
        <v>8</v>
      </c>
      <c r="AL255" s="149">
        <f t="shared" si="55"/>
        <v>103</v>
      </c>
      <c r="AM255" s="149">
        <f t="shared" si="56"/>
        <v>103000000</v>
      </c>
      <c r="AN255" s="149"/>
    </row>
    <row r="256" spans="16:43">
      <c r="Q256" s="99" t="s">
        <v>4698</v>
      </c>
      <c r="R256" s="95">
        <v>8739459</v>
      </c>
      <c r="T256" s="213" t="s">
        <v>5118</v>
      </c>
      <c r="U256" s="213">
        <v>27344</v>
      </c>
      <c r="V256" s="113">
        <v>365.69799999999998</v>
      </c>
      <c r="W256" s="113">
        <f t="shared" si="44"/>
        <v>9999646.1119999997</v>
      </c>
      <c r="X256" s="99" t="s">
        <v>452</v>
      </c>
      <c r="AH256" s="20">
        <v>53</v>
      </c>
      <c r="AI256" s="20" t="s">
        <v>4960</v>
      </c>
      <c r="AJ256" s="117">
        <v>-2668880</v>
      </c>
      <c r="AK256" s="20">
        <v>0</v>
      </c>
      <c r="AL256" s="20">
        <f t="shared" si="55"/>
        <v>95</v>
      </c>
      <c r="AM256" s="20">
        <f t="shared" si="56"/>
        <v>-253543600</v>
      </c>
      <c r="AN256" s="20" t="s">
        <v>4962</v>
      </c>
    </row>
    <row r="257" spans="17:45" ht="30">
      <c r="Q257" s="99" t="s">
        <v>4707</v>
      </c>
      <c r="R257" s="95">
        <v>6667654</v>
      </c>
      <c r="T257" s="213" t="s">
        <v>5128</v>
      </c>
      <c r="U257" s="213">
        <v>-103145</v>
      </c>
      <c r="V257" s="113">
        <v>393.334</v>
      </c>
      <c r="W257" s="113">
        <f t="shared" si="44"/>
        <v>-40570435.43</v>
      </c>
      <c r="X257" s="36" t="s">
        <v>5143</v>
      </c>
      <c r="AH257" s="149">
        <v>54</v>
      </c>
      <c r="AI257" s="149" t="s">
        <v>4960</v>
      </c>
      <c r="AJ257" s="188">
        <v>-1528620</v>
      </c>
      <c r="AK257" s="149">
        <v>0</v>
      </c>
      <c r="AL257" s="149">
        <f t="shared" si="55"/>
        <v>95</v>
      </c>
      <c r="AM257" s="149">
        <f t="shared" si="56"/>
        <v>-145218900</v>
      </c>
      <c r="AN257" s="149" t="s">
        <v>4962</v>
      </c>
    </row>
    <row r="258" spans="17:45">
      <c r="Q258" s="99" t="s">
        <v>3683</v>
      </c>
      <c r="R258" s="95">
        <v>8981245</v>
      </c>
      <c r="T258" s="213" t="s">
        <v>5147</v>
      </c>
      <c r="U258" s="213">
        <v>2546</v>
      </c>
      <c r="V258" s="113">
        <v>393</v>
      </c>
      <c r="W258" s="113">
        <f t="shared" si="44"/>
        <v>1000578</v>
      </c>
      <c r="X258" s="36" t="s">
        <v>452</v>
      </c>
      <c r="AH258" s="20">
        <v>55</v>
      </c>
      <c r="AI258" s="20" t="s">
        <v>4960</v>
      </c>
      <c r="AJ258" s="117">
        <v>50000000</v>
      </c>
      <c r="AK258" s="20">
        <v>4</v>
      </c>
      <c r="AL258" s="20">
        <f t="shared" si="55"/>
        <v>95</v>
      </c>
      <c r="AM258" s="20">
        <f t="shared" si="56"/>
        <v>4750000000</v>
      </c>
      <c r="AN258" s="20"/>
    </row>
    <row r="259" spans="17:45">
      <c r="Q259" s="99" t="s">
        <v>4720</v>
      </c>
      <c r="R259" s="95">
        <v>9181756</v>
      </c>
      <c r="T259" s="213" t="s">
        <v>5148</v>
      </c>
      <c r="U259" s="213">
        <v>1034</v>
      </c>
      <c r="V259" s="113">
        <v>386.608</v>
      </c>
      <c r="W259" s="113">
        <f t="shared" si="44"/>
        <v>399752.67200000002</v>
      </c>
      <c r="X259" s="36" t="s">
        <v>452</v>
      </c>
      <c r="AH259" s="20">
        <v>56</v>
      </c>
      <c r="AI259" s="20" t="s">
        <v>4966</v>
      </c>
      <c r="AJ259" s="117">
        <v>400000</v>
      </c>
      <c r="AK259" s="20">
        <v>4</v>
      </c>
      <c r="AL259" s="20">
        <f t="shared" ref="AL259:AL268" si="57">AK259+AL260</f>
        <v>91</v>
      </c>
      <c r="AM259" s="20">
        <f t="shared" ref="AM259:AM268" si="58">AJ259*AL259</f>
        <v>36400000</v>
      </c>
      <c r="AN259" s="20"/>
    </row>
    <row r="260" spans="17:45">
      <c r="Q260" s="99" t="s">
        <v>4724</v>
      </c>
      <c r="R260" s="95">
        <v>11811208</v>
      </c>
      <c r="T260" s="213" t="s">
        <v>5160</v>
      </c>
      <c r="U260" s="213">
        <v>300</v>
      </c>
      <c r="V260" s="113">
        <v>400</v>
      </c>
      <c r="W260" s="113">
        <f t="shared" si="44"/>
        <v>120000</v>
      </c>
      <c r="X260" s="36" t="s">
        <v>452</v>
      </c>
      <c r="AH260" s="20">
        <v>57</v>
      </c>
      <c r="AI260" s="20" t="s">
        <v>4979</v>
      </c>
      <c r="AJ260" s="117">
        <v>2000000</v>
      </c>
      <c r="AK260" s="20">
        <v>3</v>
      </c>
      <c r="AL260" s="20">
        <f t="shared" si="57"/>
        <v>87</v>
      </c>
      <c r="AM260" s="20">
        <f t="shared" si="58"/>
        <v>174000000</v>
      </c>
      <c r="AN260" s="20"/>
    </row>
    <row r="261" spans="17:45">
      <c r="Q261" s="99" t="s">
        <v>4738</v>
      </c>
      <c r="R261" s="95">
        <v>41248054</v>
      </c>
      <c r="T261" s="213" t="s">
        <v>5179</v>
      </c>
      <c r="U261" s="213">
        <v>782</v>
      </c>
      <c r="V261" s="113">
        <v>409</v>
      </c>
      <c r="W261" s="113">
        <f t="shared" si="44"/>
        <v>319838</v>
      </c>
      <c r="X261" s="36" t="s">
        <v>751</v>
      </c>
      <c r="AH261" s="20">
        <v>58</v>
      </c>
      <c r="AI261" s="20" t="s">
        <v>4982</v>
      </c>
      <c r="AJ261" s="117">
        <v>100000</v>
      </c>
      <c r="AK261" s="20">
        <v>4</v>
      </c>
      <c r="AL261" s="20">
        <f t="shared" si="57"/>
        <v>84</v>
      </c>
      <c r="AM261" s="20">
        <f t="shared" si="58"/>
        <v>8400000</v>
      </c>
      <c r="AN261" s="20" t="s">
        <v>3890</v>
      </c>
    </row>
    <row r="262" spans="17:45">
      <c r="Q262" s="99" t="s">
        <v>4746</v>
      </c>
      <c r="R262" s="95">
        <v>37328780</v>
      </c>
      <c r="T262" s="213" t="s">
        <v>5185</v>
      </c>
      <c r="U262" s="213">
        <v>1220</v>
      </c>
      <c r="V262" s="113">
        <v>409.9</v>
      </c>
      <c r="W262" s="113">
        <f t="shared" si="44"/>
        <v>500078</v>
      </c>
      <c r="X262" s="36" t="s">
        <v>751</v>
      </c>
      <c r="AH262" s="20">
        <v>59</v>
      </c>
      <c r="AI262" s="20" t="s">
        <v>4993</v>
      </c>
      <c r="AJ262" s="117">
        <v>100000</v>
      </c>
      <c r="AK262" s="20">
        <v>7</v>
      </c>
      <c r="AL262" s="20">
        <f t="shared" si="57"/>
        <v>80</v>
      </c>
      <c r="AM262" s="20">
        <f t="shared" si="58"/>
        <v>8000000</v>
      </c>
      <c r="AN262" s="20"/>
    </row>
    <row r="263" spans="17:45">
      <c r="Q263" s="99" t="s">
        <v>4753</v>
      </c>
      <c r="R263" s="95">
        <v>50000000</v>
      </c>
      <c r="T263" s="213" t="s">
        <v>5188</v>
      </c>
      <c r="U263" s="213">
        <v>1285</v>
      </c>
      <c r="V263" s="113">
        <v>388.84</v>
      </c>
      <c r="W263" s="113">
        <f t="shared" si="44"/>
        <v>499659.39999999997</v>
      </c>
      <c r="X263" s="36" t="s">
        <v>452</v>
      </c>
      <c r="AH263" s="20">
        <v>60</v>
      </c>
      <c r="AI263" s="20" t="s">
        <v>5010</v>
      </c>
      <c r="AJ263" s="117">
        <v>50000</v>
      </c>
      <c r="AK263" s="20">
        <v>0</v>
      </c>
      <c r="AL263" s="20">
        <f t="shared" si="57"/>
        <v>73</v>
      </c>
      <c r="AM263" s="20">
        <f t="shared" si="58"/>
        <v>3650000</v>
      </c>
      <c r="AN263" s="20"/>
    </row>
    <row r="264" spans="17:45">
      <c r="Q264" s="99" t="s">
        <v>4817</v>
      </c>
      <c r="R264" s="95">
        <v>68656</v>
      </c>
      <c r="T264" s="213" t="s">
        <v>5168</v>
      </c>
      <c r="U264" s="213">
        <v>1924</v>
      </c>
      <c r="V264" s="113">
        <v>386.69600000000003</v>
      </c>
      <c r="W264" s="113">
        <f t="shared" si="44"/>
        <v>744003.10400000005</v>
      </c>
      <c r="X264" s="36" t="s">
        <v>452</v>
      </c>
      <c r="AH264" s="149">
        <v>61</v>
      </c>
      <c r="AI264" s="149" t="s">
        <v>5010</v>
      </c>
      <c r="AJ264" s="188">
        <v>50000</v>
      </c>
      <c r="AK264" s="149">
        <v>3</v>
      </c>
      <c r="AL264" s="149">
        <f t="shared" si="57"/>
        <v>73</v>
      </c>
      <c r="AM264" s="149">
        <f t="shared" si="58"/>
        <v>3650000</v>
      </c>
      <c r="AN264" s="149"/>
    </row>
    <row r="265" spans="17:45">
      <c r="Q265" s="99" t="s">
        <v>4831</v>
      </c>
      <c r="R265" s="95">
        <v>4000236</v>
      </c>
      <c r="T265" s="168"/>
      <c r="U265" s="168"/>
      <c r="V265" s="113"/>
      <c r="W265" s="113"/>
      <c r="X265" s="99"/>
      <c r="AH265" s="20">
        <v>62</v>
      </c>
      <c r="AI265" s="20" t="s">
        <v>5015</v>
      </c>
      <c r="AJ265" s="117">
        <v>50000</v>
      </c>
      <c r="AK265" s="20">
        <v>0</v>
      </c>
      <c r="AL265" s="20">
        <f t="shared" si="57"/>
        <v>70</v>
      </c>
      <c r="AM265" s="20">
        <f t="shared" si="58"/>
        <v>3500000</v>
      </c>
      <c r="AN265" s="20"/>
    </row>
    <row r="266" spans="17:45">
      <c r="Q266" s="99" t="s">
        <v>4831</v>
      </c>
      <c r="R266" s="95">
        <v>2250000</v>
      </c>
      <c r="T266" s="168"/>
      <c r="U266" s="168">
        <f>SUM(U169:U265)</f>
        <v>3603646</v>
      </c>
      <c r="V266" s="99"/>
      <c r="W266" s="99"/>
      <c r="X266" s="99"/>
      <c r="AH266" s="195">
        <v>63</v>
      </c>
      <c r="AI266" s="195" t="s">
        <v>5015</v>
      </c>
      <c r="AJ266" s="196">
        <v>50000</v>
      </c>
      <c r="AK266" s="195">
        <v>2</v>
      </c>
      <c r="AL266" s="195">
        <f t="shared" si="57"/>
        <v>70</v>
      </c>
      <c r="AM266" s="195">
        <f t="shared" si="58"/>
        <v>3500000</v>
      </c>
      <c r="AN266" s="195"/>
    </row>
    <row r="267" spans="17:45">
      <c r="Q267" s="99" t="s">
        <v>4836</v>
      </c>
      <c r="R267" s="95">
        <v>-2512200</v>
      </c>
      <c r="T267" s="99"/>
      <c r="U267" s="99" t="s">
        <v>6</v>
      </c>
      <c r="V267" s="99"/>
      <c r="W267" s="99"/>
      <c r="X267" s="99"/>
      <c r="Y267" t="s">
        <v>25</v>
      </c>
      <c r="AH267" s="20">
        <v>64</v>
      </c>
      <c r="AI267" s="20" t="s">
        <v>5025</v>
      </c>
      <c r="AJ267" s="117">
        <v>25000</v>
      </c>
      <c r="AK267" s="20">
        <v>0</v>
      </c>
      <c r="AL267" s="20">
        <f t="shared" si="57"/>
        <v>68</v>
      </c>
      <c r="AM267" s="20">
        <f t="shared" si="58"/>
        <v>1700000</v>
      </c>
      <c r="AN267" s="20"/>
      <c r="AS267" t="s">
        <v>25</v>
      </c>
    </row>
    <row r="268" spans="17:45">
      <c r="Q268" s="99" t="s">
        <v>4845</v>
      </c>
      <c r="R268" s="95">
        <v>300000</v>
      </c>
      <c r="T268" s="200" t="s">
        <v>4481</v>
      </c>
      <c r="AH268" s="149">
        <v>65</v>
      </c>
      <c r="AI268" s="149" t="s">
        <v>5025</v>
      </c>
      <c r="AJ268" s="188">
        <v>35000</v>
      </c>
      <c r="AK268" s="149">
        <v>7</v>
      </c>
      <c r="AL268" s="149">
        <f t="shared" si="57"/>
        <v>68</v>
      </c>
      <c r="AM268" s="149">
        <f t="shared" si="58"/>
        <v>2380000</v>
      </c>
      <c r="AN268" s="149"/>
    </row>
    <row r="269" spans="17:45">
      <c r="Q269" s="99" t="s">
        <v>980</v>
      </c>
      <c r="R269" s="95">
        <v>1100000</v>
      </c>
      <c r="T269" s="199">
        <f>R182/U266</f>
        <v>392.15690345278085</v>
      </c>
      <c r="AH269" s="149">
        <v>66</v>
      </c>
      <c r="AI269" s="149" t="s">
        <v>5036</v>
      </c>
      <c r="AJ269" s="188">
        <v>30000000</v>
      </c>
      <c r="AK269" s="149">
        <v>0</v>
      </c>
      <c r="AL269" s="149">
        <f t="shared" ref="AL269:AL288" si="59">AK269+AL270</f>
        <v>61</v>
      </c>
      <c r="AM269" s="149">
        <f t="shared" ref="AM269:AM288" si="60">AJ269*AL269</f>
        <v>1830000000</v>
      </c>
      <c r="AN269" s="149"/>
    </row>
    <row r="270" spans="17:45">
      <c r="Q270" s="99" t="s">
        <v>4853</v>
      </c>
      <c r="R270" s="95">
        <v>890000</v>
      </c>
      <c r="W270" s="114"/>
      <c r="AH270" s="20">
        <v>67</v>
      </c>
      <c r="AI270" s="20" t="s">
        <v>5036</v>
      </c>
      <c r="AJ270" s="117">
        <v>6800000</v>
      </c>
      <c r="AK270" s="20">
        <v>1</v>
      </c>
      <c r="AL270" s="20">
        <f t="shared" si="59"/>
        <v>61</v>
      </c>
      <c r="AM270" s="20">
        <f t="shared" si="60"/>
        <v>414800000</v>
      </c>
      <c r="AN270" s="20"/>
    </row>
    <row r="271" spans="17:45">
      <c r="Q271" s="99" t="s">
        <v>4873</v>
      </c>
      <c r="R271" s="95">
        <v>1000000</v>
      </c>
      <c r="U271" s="96" t="s">
        <v>267</v>
      </c>
      <c r="V271" t="s">
        <v>4482</v>
      </c>
      <c r="X271" t="s">
        <v>25</v>
      </c>
      <c r="AH271" s="20">
        <v>68</v>
      </c>
      <c r="AI271" s="20" t="s">
        <v>5044</v>
      </c>
      <c r="AJ271" s="117">
        <v>500000</v>
      </c>
      <c r="AK271" s="20">
        <v>1</v>
      </c>
      <c r="AL271" s="20">
        <f t="shared" si="59"/>
        <v>60</v>
      </c>
      <c r="AM271" s="20">
        <f t="shared" si="60"/>
        <v>30000000</v>
      </c>
      <c r="AN271" s="20"/>
      <c r="AR271" t="s">
        <v>25</v>
      </c>
    </row>
    <row r="272" spans="17:45">
      <c r="Q272" s="99" t="s">
        <v>4874</v>
      </c>
      <c r="R272" s="95">
        <v>45436311</v>
      </c>
      <c r="T272" s="114"/>
      <c r="U272" s="113">
        <v>744000</v>
      </c>
      <c r="V272">
        <f>U272/T269</f>
        <v>1897.19980306195</v>
      </c>
      <c r="X272" t="s">
        <v>25</v>
      </c>
      <c r="AH272" s="20">
        <v>69</v>
      </c>
      <c r="AI272" s="20" t="s">
        <v>5052</v>
      </c>
      <c r="AJ272" s="117">
        <v>850000</v>
      </c>
      <c r="AK272" s="20">
        <v>5</v>
      </c>
      <c r="AL272" s="20">
        <f t="shared" si="59"/>
        <v>59</v>
      </c>
      <c r="AM272" s="20">
        <f t="shared" si="60"/>
        <v>50150000</v>
      </c>
      <c r="AN272" s="20"/>
    </row>
    <row r="273" spans="17:40">
      <c r="Q273" s="99" t="s">
        <v>4874</v>
      </c>
      <c r="R273" s="95">
        <v>-3500000</v>
      </c>
      <c r="X273" t="s">
        <v>25</v>
      </c>
      <c r="Y273" t="s">
        <v>25</v>
      </c>
      <c r="AH273" s="20">
        <v>70</v>
      </c>
      <c r="AI273" s="20" t="s">
        <v>5062</v>
      </c>
      <c r="AJ273" s="117">
        <v>1130250</v>
      </c>
      <c r="AK273" s="20">
        <v>0</v>
      </c>
      <c r="AL273" s="20">
        <f t="shared" si="59"/>
        <v>54</v>
      </c>
      <c r="AM273" s="20">
        <f t="shared" si="60"/>
        <v>61033500</v>
      </c>
      <c r="AN273" s="20"/>
    </row>
    <row r="274" spans="17:40">
      <c r="Q274" s="99" t="s">
        <v>4889</v>
      </c>
      <c r="R274" s="95">
        <v>2520000</v>
      </c>
      <c r="W274" s="223"/>
      <c r="X274" s="96" t="s">
        <v>25</v>
      </c>
      <c r="AH274" s="261">
        <v>71</v>
      </c>
      <c r="AI274" s="261" t="s">
        <v>5062</v>
      </c>
      <c r="AJ274" s="252">
        <v>30000</v>
      </c>
      <c r="AK274" s="261">
        <v>5</v>
      </c>
      <c r="AL274" s="261">
        <f t="shared" si="59"/>
        <v>54</v>
      </c>
      <c r="AM274" s="261">
        <f t="shared" si="60"/>
        <v>1620000</v>
      </c>
      <c r="AN274" s="261"/>
    </row>
    <row r="275" spans="17:40">
      <c r="Q275" s="99" t="s">
        <v>4925</v>
      </c>
      <c r="R275" s="95">
        <v>4900000</v>
      </c>
      <c r="X275" t="s">
        <v>25</v>
      </c>
      <c r="AH275" s="20">
        <v>72</v>
      </c>
      <c r="AI275" s="20" t="s">
        <v>5078</v>
      </c>
      <c r="AJ275" s="117">
        <v>206000</v>
      </c>
      <c r="AK275" s="20">
        <v>0</v>
      </c>
      <c r="AL275" s="20">
        <f t="shared" si="59"/>
        <v>49</v>
      </c>
      <c r="AM275" s="20">
        <f t="shared" si="60"/>
        <v>10094000</v>
      </c>
      <c r="AN275" s="20"/>
    </row>
    <row r="276" spans="17:40">
      <c r="Q276" s="99" t="s">
        <v>4946</v>
      </c>
      <c r="R276" s="95">
        <v>1150000</v>
      </c>
      <c r="W276" s="96" t="s">
        <v>25</v>
      </c>
      <c r="X276" t="s">
        <v>25</v>
      </c>
      <c r="AH276" s="149">
        <v>73</v>
      </c>
      <c r="AI276" s="149" t="s">
        <v>5078</v>
      </c>
      <c r="AJ276" s="188">
        <v>206000</v>
      </c>
      <c r="AK276" s="149">
        <v>2</v>
      </c>
      <c r="AL276" s="149">
        <f t="shared" si="59"/>
        <v>49</v>
      </c>
      <c r="AM276" s="149">
        <f t="shared" si="60"/>
        <v>10094000</v>
      </c>
      <c r="AN276" s="149"/>
    </row>
    <row r="277" spans="17:40" ht="60">
      <c r="Q277" s="99" t="s">
        <v>4897</v>
      </c>
      <c r="R277" s="95">
        <v>250000</v>
      </c>
      <c r="T277" s="22" t="s">
        <v>4465</v>
      </c>
      <c r="V277" s="223"/>
      <c r="X277" t="s">
        <v>25</v>
      </c>
      <c r="AH277" s="20">
        <v>74</v>
      </c>
      <c r="AI277" s="20" t="s">
        <v>5085</v>
      </c>
      <c r="AJ277" s="117">
        <v>50000</v>
      </c>
      <c r="AK277" s="20">
        <v>0</v>
      </c>
      <c r="AL277" s="20">
        <f t="shared" si="59"/>
        <v>47</v>
      </c>
      <c r="AM277" s="20">
        <f t="shared" si="60"/>
        <v>2350000</v>
      </c>
      <c r="AN277" s="20"/>
    </row>
    <row r="278" spans="17:40" ht="45">
      <c r="Q278" s="99" t="s">
        <v>4988</v>
      </c>
      <c r="R278" s="95">
        <v>1403460</v>
      </c>
      <c r="T278" s="22" t="s">
        <v>4466</v>
      </c>
      <c r="AH278" s="261">
        <v>75</v>
      </c>
      <c r="AI278" s="261" t="s">
        <v>5085</v>
      </c>
      <c r="AJ278" s="252">
        <v>50000</v>
      </c>
      <c r="AK278" s="261">
        <v>2</v>
      </c>
      <c r="AL278" s="261">
        <f t="shared" si="59"/>
        <v>47</v>
      </c>
      <c r="AM278" s="261">
        <f t="shared" si="60"/>
        <v>2350000</v>
      </c>
      <c r="AN278" s="261"/>
    </row>
    <row r="279" spans="17:40">
      <c r="Q279" s="99" t="s">
        <v>4993</v>
      </c>
      <c r="R279" s="95">
        <v>200000</v>
      </c>
      <c r="AH279" s="20">
        <v>76</v>
      </c>
      <c r="AI279" s="20" t="s">
        <v>5092</v>
      </c>
      <c r="AJ279" s="117">
        <v>20000000</v>
      </c>
      <c r="AK279" s="20">
        <v>7</v>
      </c>
      <c r="AL279" s="20">
        <f t="shared" si="59"/>
        <v>45</v>
      </c>
      <c r="AM279" s="20">
        <f t="shared" si="60"/>
        <v>900000000</v>
      </c>
      <c r="AN279" s="20" t="s">
        <v>5093</v>
      </c>
    </row>
    <row r="280" spans="17:40">
      <c r="Q280" s="99" t="s">
        <v>5000</v>
      </c>
      <c r="R280" s="95">
        <v>345000</v>
      </c>
      <c r="AH280" s="20">
        <v>77</v>
      </c>
      <c r="AI280" s="20" t="s">
        <v>5111</v>
      </c>
      <c r="AJ280" s="117">
        <v>50000</v>
      </c>
      <c r="AK280" s="20">
        <v>0</v>
      </c>
      <c r="AL280" s="20">
        <f t="shared" si="59"/>
        <v>38</v>
      </c>
      <c r="AM280" s="20">
        <f t="shared" si="60"/>
        <v>1900000</v>
      </c>
      <c r="AN280" s="20"/>
    </row>
    <row r="281" spans="17:40">
      <c r="Q281" s="99" t="s">
        <v>5006</v>
      </c>
      <c r="R281" s="95">
        <v>900000</v>
      </c>
      <c r="T281" s="99" t="s">
        <v>4483</v>
      </c>
      <c r="U281" s="99" t="s">
        <v>4454</v>
      </c>
      <c r="V281" s="99" t="s">
        <v>952</v>
      </c>
      <c r="AH281" s="149">
        <v>78</v>
      </c>
      <c r="AI281" s="149" t="s">
        <v>5111</v>
      </c>
      <c r="AJ281" s="188">
        <v>50000</v>
      </c>
      <c r="AK281" s="149">
        <v>7</v>
      </c>
      <c r="AL281" s="149">
        <f t="shared" si="59"/>
        <v>38</v>
      </c>
      <c r="AM281" s="149">
        <f t="shared" si="60"/>
        <v>1900000</v>
      </c>
      <c r="AN281" s="149"/>
    </row>
    <row r="282" spans="17:40">
      <c r="Q282" s="99" t="s">
        <v>5010</v>
      </c>
      <c r="R282" s="95">
        <v>372517</v>
      </c>
      <c r="T282" s="95">
        <f>S202+R240+R298</f>
        <v>896477036</v>
      </c>
      <c r="U282" s="95">
        <f>R182</f>
        <v>1413194656.5</v>
      </c>
      <c r="V282" s="95">
        <f>U282-T282</f>
        <v>516717620.5</v>
      </c>
      <c r="AH282" s="20">
        <v>79</v>
      </c>
      <c r="AI282" s="20" t="s">
        <v>5118</v>
      </c>
      <c r="AJ282" s="117">
        <v>2480000</v>
      </c>
      <c r="AK282" s="20">
        <v>0</v>
      </c>
      <c r="AL282" s="20">
        <f t="shared" si="59"/>
        <v>31</v>
      </c>
      <c r="AM282" s="20">
        <f t="shared" si="60"/>
        <v>76880000</v>
      </c>
      <c r="AN282" s="20"/>
    </row>
    <row r="283" spans="17:40">
      <c r="Q283" s="99" t="s">
        <v>5022</v>
      </c>
      <c r="R283" s="95">
        <v>6489257</v>
      </c>
      <c r="AH283" s="149">
        <v>80</v>
      </c>
      <c r="AI283" s="149" t="s">
        <v>5118</v>
      </c>
      <c r="AJ283" s="188">
        <v>2480000</v>
      </c>
      <c r="AK283" s="149">
        <v>12</v>
      </c>
      <c r="AL283" s="149">
        <f t="shared" si="59"/>
        <v>31</v>
      </c>
      <c r="AM283" s="149">
        <f t="shared" si="60"/>
        <v>76880000</v>
      </c>
      <c r="AN283" s="149"/>
    </row>
    <row r="284" spans="17:40">
      <c r="Q284" s="99" t="s">
        <v>5078</v>
      </c>
      <c r="R284" s="95">
        <v>618000</v>
      </c>
      <c r="S284" s="114"/>
      <c r="AH284" s="20">
        <v>81</v>
      </c>
      <c r="AI284" s="20" t="s">
        <v>5128</v>
      </c>
      <c r="AJ284" s="117">
        <v>-24159500</v>
      </c>
      <c r="AK284" s="20">
        <v>4</v>
      </c>
      <c r="AL284" s="20">
        <f t="shared" si="59"/>
        <v>19</v>
      </c>
      <c r="AM284" s="20">
        <f t="shared" si="60"/>
        <v>-459030500</v>
      </c>
      <c r="AN284" s="20" t="s">
        <v>5146</v>
      </c>
    </row>
    <row r="285" spans="17:40">
      <c r="Q285" s="99" t="s">
        <v>5092</v>
      </c>
      <c r="R285" s="95">
        <v>20105000</v>
      </c>
      <c r="AH285" s="20">
        <v>82</v>
      </c>
      <c r="AI285" s="20" t="s">
        <v>5148</v>
      </c>
      <c r="AJ285" s="117">
        <v>400000</v>
      </c>
      <c r="AK285" s="20">
        <v>3</v>
      </c>
      <c r="AL285" s="20">
        <f t="shared" si="59"/>
        <v>15</v>
      </c>
      <c r="AM285" s="20">
        <f t="shared" si="60"/>
        <v>6000000</v>
      </c>
      <c r="AN285" s="20"/>
    </row>
    <row r="286" spans="17:40">
      <c r="Q286" s="99" t="s">
        <v>5097</v>
      </c>
      <c r="R286" s="95">
        <v>-21079990</v>
      </c>
      <c r="AH286" s="149">
        <v>83</v>
      </c>
      <c r="AI286" s="149" t="s">
        <v>5160</v>
      </c>
      <c r="AJ286" s="188">
        <v>40000</v>
      </c>
      <c r="AK286" s="149">
        <v>0</v>
      </c>
      <c r="AL286" s="149">
        <f t="shared" si="59"/>
        <v>12</v>
      </c>
      <c r="AM286" s="149">
        <f t="shared" si="60"/>
        <v>480000</v>
      </c>
      <c r="AN286" s="149"/>
    </row>
    <row r="287" spans="17:40">
      <c r="Q287" s="99" t="s">
        <v>5100</v>
      </c>
      <c r="R287" s="95">
        <v>-5949277</v>
      </c>
      <c r="T287" t="s">
        <v>25</v>
      </c>
      <c r="AH287" s="20">
        <v>84</v>
      </c>
      <c r="AI287" s="20" t="s">
        <v>5160</v>
      </c>
      <c r="AJ287" s="117">
        <v>40000</v>
      </c>
      <c r="AK287" s="20">
        <v>5</v>
      </c>
      <c r="AL287" s="20">
        <f t="shared" si="59"/>
        <v>12</v>
      </c>
      <c r="AM287" s="20">
        <f t="shared" si="60"/>
        <v>480000</v>
      </c>
      <c r="AN287" s="20"/>
    </row>
    <row r="288" spans="17:40">
      <c r="Q288" s="99" t="s">
        <v>5111</v>
      </c>
      <c r="R288" s="95">
        <v>-15370656</v>
      </c>
      <c r="T288" t="s">
        <v>25</v>
      </c>
      <c r="AH288" s="20">
        <v>85</v>
      </c>
      <c r="AI288" s="20" t="s">
        <v>5179</v>
      </c>
      <c r="AJ288" s="117">
        <v>200000</v>
      </c>
      <c r="AK288" s="20">
        <v>1</v>
      </c>
      <c r="AL288" s="20">
        <f t="shared" si="59"/>
        <v>7</v>
      </c>
      <c r="AM288" s="20">
        <f t="shared" si="60"/>
        <v>1400000</v>
      </c>
      <c r="AN288" s="20"/>
    </row>
    <row r="289" spans="16:44">
      <c r="Q289" s="99" t="s">
        <v>5118</v>
      </c>
      <c r="R289" s="95">
        <v>4960000</v>
      </c>
      <c r="AH289" s="20">
        <v>86</v>
      </c>
      <c r="AI289" s="20" t="s">
        <v>5185</v>
      </c>
      <c r="AJ289" s="117">
        <v>500000</v>
      </c>
      <c r="AK289" s="20">
        <v>2</v>
      </c>
      <c r="AL289" s="20">
        <f t="shared" ref="AL289:AL313" si="61">AK289+AL290</f>
        <v>6</v>
      </c>
      <c r="AM289" s="20">
        <f t="shared" ref="AM289:AM313" si="62">AJ289*AL289</f>
        <v>3000000</v>
      </c>
      <c r="AN289" s="20"/>
    </row>
    <row r="290" spans="16:44">
      <c r="Q290" s="99" t="s">
        <v>5118</v>
      </c>
      <c r="R290" s="95">
        <v>10000000</v>
      </c>
      <c r="T290" t="s">
        <v>25</v>
      </c>
      <c r="AH290" s="20">
        <v>87</v>
      </c>
      <c r="AI290" s="20" t="s">
        <v>5188</v>
      </c>
      <c r="AJ290" s="117">
        <v>500000</v>
      </c>
      <c r="AK290" s="20">
        <v>3</v>
      </c>
      <c r="AL290" s="20">
        <f t="shared" si="61"/>
        <v>4</v>
      </c>
      <c r="AM290" s="20">
        <f t="shared" si="62"/>
        <v>2000000</v>
      </c>
      <c r="AN290" s="20"/>
    </row>
    <row r="291" spans="16:44">
      <c r="Q291" s="99" t="s">
        <v>5128</v>
      </c>
      <c r="R291" s="95">
        <v>-40570100</v>
      </c>
      <c r="T291" t="s">
        <v>25</v>
      </c>
      <c r="AH291" s="20">
        <v>88</v>
      </c>
      <c r="AI291" s="20" t="s">
        <v>5168</v>
      </c>
      <c r="AJ291" s="117">
        <v>250000</v>
      </c>
      <c r="AK291" s="20">
        <v>0</v>
      </c>
      <c r="AL291" s="20">
        <f t="shared" si="61"/>
        <v>1</v>
      </c>
      <c r="AM291" s="20">
        <f t="shared" si="62"/>
        <v>250000</v>
      </c>
      <c r="AN291" s="20"/>
    </row>
    <row r="292" spans="16:44">
      <c r="Q292" s="99" t="s">
        <v>5147</v>
      </c>
      <c r="R292" s="95">
        <v>1000000</v>
      </c>
      <c r="AH292" s="261">
        <v>89</v>
      </c>
      <c r="AI292" s="261" t="s">
        <v>5168</v>
      </c>
      <c r="AJ292" s="252">
        <v>245000</v>
      </c>
      <c r="AK292" s="261">
        <v>1</v>
      </c>
      <c r="AL292" s="261">
        <f t="shared" si="61"/>
        <v>1</v>
      </c>
      <c r="AM292" s="261">
        <f t="shared" si="62"/>
        <v>245000</v>
      </c>
      <c r="AN292" s="261"/>
    </row>
    <row r="293" spans="16:44">
      <c r="Q293" s="99" t="s">
        <v>5148</v>
      </c>
      <c r="R293" s="95">
        <v>400000</v>
      </c>
      <c r="AH293" s="20"/>
      <c r="AI293" s="20"/>
      <c r="AJ293" s="117"/>
      <c r="AK293" s="20"/>
      <c r="AL293" s="20">
        <f t="shared" si="61"/>
        <v>0</v>
      </c>
      <c r="AM293" s="20">
        <f t="shared" si="62"/>
        <v>0</v>
      </c>
      <c r="AN293" s="20"/>
    </row>
    <row r="294" spans="16:44">
      <c r="P294" t="s">
        <v>25</v>
      </c>
      <c r="Q294" s="99" t="s">
        <v>5160</v>
      </c>
      <c r="R294" s="95">
        <v>120000</v>
      </c>
      <c r="T294" t="s">
        <v>25</v>
      </c>
      <c r="AH294" s="20"/>
      <c r="AI294" s="20"/>
      <c r="AJ294" s="117"/>
      <c r="AK294" s="20"/>
      <c r="AL294" s="20">
        <f t="shared" si="61"/>
        <v>0</v>
      </c>
      <c r="AM294" s="20">
        <f t="shared" si="62"/>
        <v>0</v>
      </c>
      <c r="AN294" s="20"/>
    </row>
    <row r="295" spans="16:44">
      <c r="Q295" s="99" t="s">
        <v>5188</v>
      </c>
      <c r="R295" s="95">
        <v>500000</v>
      </c>
      <c r="T295" t="s">
        <v>25</v>
      </c>
      <c r="AH295" s="20"/>
      <c r="AI295" s="20"/>
      <c r="AJ295" s="117"/>
      <c r="AK295" s="20"/>
      <c r="AL295" s="20">
        <f t="shared" si="61"/>
        <v>0</v>
      </c>
      <c r="AM295" s="20">
        <f t="shared" si="62"/>
        <v>0</v>
      </c>
      <c r="AN295" s="20"/>
    </row>
    <row r="296" spans="16:44">
      <c r="Q296" s="99" t="s">
        <v>5168</v>
      </c>
      <c r="R296" s="95">
        <v>744000</v>
      </c>
      <c r="W296" s="96" t="s">
        <v>25</v>
      </c>
      <c r="AH296" s="20"/>
      <c r="AI296" s="20"/>
      <c r="AJ296" s="117"/>
      <c r="AK296" s="20"/>
      <c r="AL296" s="20">
        <f t="shared" si="61"/>
        <v>0</v>
      </c>
      <c r="AM296" s="20">
        <f t="shared" si="62"/>
        <v>0</v>
      </c>
      <c r="AN296" s="20"/>
    </row>
    <row r="297" spans="16:44">
      <c r="Q297" s="99"/>
      <c r="R297" s="95"/>
      <c r="T297" t="s">
        <v>25</v>
      </c>
      <c r="AH297" s="20"/>
      <c r="AI297" s="20"/>
      <c r="AJ297" s="117"/>
      <c r="AK297" s="20"/>
      <c r="AL297" s="20">
        <f t="shared" si="61"/>
        <v>0</v>
      </c>
      <c r="AM297" s="20">
        <f t="shared" si="62"/>
        <v>0</v>
      </c>
      <c r="AN297" s="20"/>
    </row>
    <row r="298" spans="16:44">
      <c r="Q298" s="99"/>
      <c r="R298" s="95">
        <f>SUM(R245:R297)</f>
        <v>387150156</v>
      </c>
      <c r="T298" t="s">
        <v>25</v>
      </c>
      <c r="AH298" s="20"/>
      <c r="AI298" s="20"/>
      <c r="AJ298" s="117"/>
      <c r="AK298" s="20"/>
      <c r="AL298" s="20">
        <f t="shared" si="61"/>
        <v>0</v>
      </c>
      <c r="AM298" s="20">
        <f t="shared" si="62"/>
        <v>0</v>
      </c>
      <c r="AN298" s="20"/>
    </row>
    <row r="299" spans="16:44">
      <c r="Q299" s="99"/>
      <c r="R299" s="99" t="s">
        <v>6</v>
      </c>
      <c r="AH299" s="20"/>
      <c r="AI299" s="20"/>
      <c r="AJ299" s="117"/>
      <c r="AK299" s="20"/>
      <c r="AL299" s="20">
        <f t="shared" si="61"/>
        <v>0</v>
      </c>
      <c r="AM299" s="20">
        <f t="shared" si="62"/>
        <v>0</v>
      </c>
      <c r="AN299" s="20"/>
    </row>
    <row r="300" spans="16:44">
      <c r="T300" t="s">
        <v>25</v>
      </c>
      <c r="AH300" s="20"/>
      <c r="AI300" s="20"/>
      <c r="AJ300" s="117"/>
      <c r="AK300" s="20"/>
      <c r="AL300" s="20">
        <f t="shared" si="61"/>
        <v>0</v>
      </c>
      <c r="AM300" s="20">
        <f t="shared" si="62"/>
        <v>0</v>
      </c>
      <c r="AN300" s="20"/>
      <c r="AR300" t="s">
        <v>25</v>
      </c>
    </row>
    <row r="301" spans="16:44">
      <c r="T301" t="s">
        <v>25</v>
      </c>
      <c r="AH301" s="20"/>
      <c r="AI301" s="20"/>
      <c r="AJ301" s="117"/>
      <c r="AK301" s="20"/>
      <c r="AL301" s="20">
        <f t="shared" si="61"/>
        <v>0</v>
      </c>
      <c r="AM301" s="20">
        <f t="shared" si="62"/>
        <v>0</v>
      </c>
      <c r="AN301" s="20"/>
    </row>
    <row r="302" spans="16:44">
      <c r="T302" t="s">
        <v>25</v>
      </c>
      <c r="AH302" s="20"/>
      <c r="AI302" s="20"/>
      <c r="AJ302" s="117"/>
      <c r="AK302" s="20"/>
      <c r="AL302" s="20">
        <f t="shared" si="61"/>
        <v>0</v>
      </c>
      <c r="AM302" s="20">
        <f t="shared" si="62"/>
        <v>0</v>
      </c>
      <c r="AN302" s="20"/>
    </row>
    <row r="303" spans="16:44">
      <c r="T303" t="s">
        <v>25</v>
      </c>
      <c r="AH303" s="20"/>
      <c r="AI303" s="20"/>
      <c r="AJ303" s="117"/>
      <c r="AK303" s="20"/>
      <c r="AL303" s="20">
        <f t="shared" si="61"/>
        <v>0</v>
      </c>
      <c r="AM303" s="20">
        <f t="shared" si="62"/>
        <v>0</v>
      </c>
      <c r="AN303" s="20"/>
    </row>
    <row r="304" spans="16:44">
      <c r="T304" t="s">
        <v>25</v>
      </c>
      <c r="AH304" s="20"/>
      <c r="AI304" s="20"/>
      <c r="AJ304" s="117"/>
      <c r="AK304" s="20"/>
      <c r="AL304" s="20">
        <f t="shared" si="61"/>
        <v>0</v>
      </c>
      <c r="AM304" s="20">
        <f t="shared" si="62"/>
        <v>0</v>
      </c>
      <c r="AN304" s="20"/>
    </row>
    <row r="305" spans="18:40">
      <c r="AH305" s="20"/>
      <c r="AI305" s="20"/>
      <c r="AJ305" s="117"/>
      <c r="AK305" s="20"/>
      <c r="AL305" s="20">
        <f t="shared" si="61"/>
        <v>0</v>
      </c>
      <c r="AM305" s="20">
        <f t="shared" si="62"/>
        <v>0</v>
      </c>
      <c r="AN305" s="20"/>
    </row>
    <row r="306" spans="18:40">
      <c r="AH306" s="20"/>
      <c r="AI306" s="20"/>
      <c r="AJ306" s="117"/>
      <c r="AK306" s="20"/>
      <c r="AL306" s="20">
        <f t="shared" si="61"/>
        <v>0</v>
      </c>
      <c r="AM306" s="20">
        <f t="shared" si="62"/>
        <v>0</v>
      </c>
      <c r="AN306" s="20"/>
    </row>
    <row r="307" spans="18:40">
      <c r="R307" t="s">
        <v>25</v>
      </c>
      <c r="AH307" s="20"/>
      <c r="AI307" s="20"/>
      <c r="AJ307" s="117"/>
      <c r="AK307" s="20"/>
      <c r="AL307" s="20">
        <f t="shared" si="61"/>
        <v>0</v>
      </c>
      <c r="AM307" s="20">
        <f t="shared" si="62"/>
        <v>0</v>
      </c>
      <c r="AN307" s="20"/>
    </row>
    <row r="308" spans="18:40">
      <c r="AH308" s="20"/>
      <c r="AI308" s="20"/>
      <c r="AJ308" s="117"/>
      <c r="AK308" s="20"/>
      <c r="AL308" s="20">
        <f t="shared" si="61"/>
        <v>0</v>
      </c>
      <c r="AM308" s="20">
        <f t="shared" si="62"/>
        <v>0</v>
      </c>
      <c r="AN308" s="20"/>
    </row>
    <row r="309" spans="18:40">
      <c r="AH309" s="20"/>
      <c r="AI309" s="20"/>
      <c r="AJ309" s="117"/>
      <c r="AK309" s="20"/>
      <c r="AL309" s="20">
        <f t="shared" si="61"/>
        <v>0</v>
      </c>
      <c r="AM309" s="20">
        <f t="shared" si="62"/>
        <v>0</v>
      </c>
      <c r="AN309" s="20"/>
    </row>
    <row r="310" spans="18:40">
      <c r="AH310" s="20"/>
      <c r="AI310" s="20"/>
      <c r="AJ310" s="117"/>
      <c r="AK310" s="20"/>
      <c r="AL310" s="20">
        <f t="shared" si="61"/>
        <v>0</v>
      </c>
      <c r="AM310" s="20">
        <f t="shared" si="62"/>
        <v>0</v>
      </c>
      <c r="AN310" s="20"/>
    </row>
    <row r="311" spans="18:40">
      <c r="AH311" s="20"/>
      <c r="AI311" s="20"/>
      <c r="AJ311" s="117"/>
      <c r="AK311" s="20"/>
      <c r="AL311" s="20">
        <f t="shared" si="61"/>
        <v>0</v>
      </c>
      <c r="AM311" s="20">
        <f t="shared" si="62"/>
        <v>0</v>
      </c>
      <c r="AN311" s="20"/>
    </row>
    <row r="312" spans="18:40">
      <c r="AH312" s="99"/>
      <c r="AI312" s="99"/>
      <c r="AJ312" s="117"/>
      <c r="AK312" s="99"/>
      <c r="AL312" s="20">
        <f t="shared" si="61"/>
        <v>0</v>
      </c>
      <c r="AM312" s="20">
        <f t="shared" si="62"/>
        <v>0</v>
      </c>
      <c r="AN312" s="20"/>
    </row>
    <row r="313" spans="18:40">
      <c r="AH313" s="99"/>
      <c r="AI313" s="99"/>
      <c r="AJ313" s="117"/>
      <c r="AK313" s="99"/>
      <c r="AL313" s="20">
        <f t="shared" si="61"/>
        <v>0</v>
      </c>
      <c r="AM313" s="20">
        <f t="shared" si="62"/>
        <v>0</v>
      </c>
      <c r="AN313" s="99"/>
    </row>
    <row r="314" spans="18:40">
      <c r="AH314" s="99"/>
      <c r="AI314" s="99"/>
      <c r="AJ314" s="95">
        <f>SUM(AJ204:AJ313)</f>
        <v>401177348</v>
      </c>
      <c r="AK314" s="99"/>
      <c r="AL314" s="99"/>
      <c r="AM314" s="99">
        <f>SUM(AM204:AM313)</f>
        <v>62128609009</v>
      </c>
      <c r="AN314" s="95">
        <f>AM314*AN190/31</f>
        <v>33403146.011387195</v>
      </c>
    </row>
    <row r="315" spans="18:40">
      <c r="AJ315" t="s">
        <v>4058</v>
      </c>
      <c r="AM315" t="s">
        <v>284</v>
      </c>
      <c r="AN315" t="s">
        <v>942</v>
      </c>
    </row>
    <row r="317" spans="18:40">
      <c r="AI317" t="s">
        <v>4060</v>
      </c>
      <c r="AJ317" s="114">
        <f>AJ314+AN314</f>
        <v>434580494.01138717</v>
      </c>
    </row>
    <row r="318" spans="18:40">
      <c r="AI318" t="s">
        <v>4063</v>
      </c>
      <c r="AJ318" s="114">
        <f>SUM(N20:N29)</f>
        <v>599105730.79999995</v>
      </c>
    </row>
    <row r="319" spans="18:40">
      <c r="AI319" t="s">
        <v>4135</v>
      </c>
      <c r="AJ319" s="114">
        <f>AJ318-AJ314</f>
        <v>197928382.79999995</v>
      </c>
    </row>
    <row r="320" spans="18:40">
      <c r="AI320" t="s">
        <v>942</v>
      </c>
      <c r="AJ320" s="114">
        <f>AN314</f>
        <v>33403146.011387195</v>
      </c>
    </row>
    <row r="321" spans="35:40">
      <c r="AI321" t="s">
        <v>4064</v>
      </c>
      <c r="AJ321" s="114">
        <f>AJ319-AJ320</f>
        <v>164525236.78861275</v>
      </c>
      <c r="AM321" t="s">
        <v>25</v>
      </c>
      <c r="AN321" t="s">
        <v>25</v>
      </c>
    </row>
    <row r="322" spans="35:40">
      <c r="AN322" t="s">
        <v>25</v>
      </c>
    </row>
    <row r="325" spans="35:40">
      <c r="AN325" t="s">
        <v>25</v>
      </c>
    </row>
    <row r="326" spans="35:40">
      <c r="AN32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1:G114 G116 G96:G103 G105 G123:G124 G126:G130 G132:G1048576">
    <cfRule type="cellIs" dxfId="9" priority="12" operator="lessThan">
      <formula>0</formula>
    </cfRule>
  </conditionalFormatting>
  <conditionalFormatting sqref="G106">
    <cfRule type="cellIs" dxfId="8" priority="3" operator="lessThan">
      <formula>0</formula>
    </cfRule>
  </conditionalFormatting>
  <conditionalFormatting sqref="G107 G109">
    <cfRule type="cellIs" dxfId="7" priority="4" operator="lessThan">
      <formula>0</formula>
    </cfRule>
  </conditionalFormatting>
  <conditionalFormatting sqref="G110">
    <cfRule type="cellIs" dxfId="6" priority="1" operator="lessThan">
      <formula>0</formula>
    </cfRule>
  </conditionalFormatting>
  <conditionalFormatting sqref="G104">
    <cfRule type="cellIs" dxfId="5" priority="5" operator="lessThan">
      <formula>0</formula>
    </cfRule>
  </conditionalFormatting>
  <conditionalFormatting sqref="G108">
    <cfRule type="cellIs" dxfId="4" priority="2" operator="lessThan">
      <formula>0</formula>
    </cfRule>
  </conditionalFormatting>
  <pageMargins left="0.7" right="0.7" top="0.75" bottom="0.75" header="0.3" footer="0.3"/>
  <pageSetup orientation="portrait" r:id="rId1"/>
  <ignoredErrors>
    <ignoredError sqref="N10" formulaRange="1"/>
    <ignoredError sqref="S22 S108 S32 G117 S116 S125 S41 S75 S131 S133 P24 S4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2019-08-17T10:46:38Z</dcterms:modified>
</cp:coreProperties>
</file>