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سکه" sheetId="36" r:id="rId1"/>
    <sheet name="فروردین 97" sheetId="34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لیست خرید و فروش" sheetId="32" r:id="rId33"/>
    <sheet name="اوراق بدون ریسک" sheetId="33" r:id="rId34"/>
    <sheet name="نکات" sheetId="35" r:id="rId35"/>
  </sheets>
  <calcPr calcId="145621"/>
</workbook>
</file>

<file path=xl/calcChain.xml><?xml version="1.0" encoding="utf-8"?>
<calcChain xmlns="http://schemas.openxmlformats.org/spreadsheetml/2006/main">
  <c r="X32" i="32" l="1"/>
  <c r="X24" i="32"/>
  <c r="Q45" i="32"/>
  <c r="P45" i="32"/>
  <c r="M45" i="32"/>
  <c r="K44" i="32"/>
  <c r="AA5" i="32"/>
  <c r="Q70" i="32"/>
  <c r="P70" i="32"/>
  <c r="M70" i="32"/>
  <c r="M57" i="32"/>
  <c r="G43" i="36" l="1"/>
  <c r="I56" i="32" l="1"/>
  <c r="Q57" i="32"/>
  <c r="K57" i="32"/>
  <c r="S57" i="32" s="1"/>
  <c r="K56" i="32"/>
  <c r="S56" i="32" s="1"/>
  <c r="L56" i="32" l="1"/>
  <c r="P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N8" i="18"/>
  <c r="G45" i="10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S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9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M15" i="32"/>
  <c r="M9" i="32"/>
  <c r="M3" i="32"/>
  <c r="Q31" i="32" l="1"/>
  <c r="P33" i="32"/>
  <c r="P5" i="32"/>
  <c r="P35" i="32"/>
  <c r="Z12" i="32"/>
  <c r="Z15" i="32" s="1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AD4" i="32" s="1"/>
  <c r="AF4" i="32" s="1"/>
  <c r="S14" i="32" l="1"/>
  <c r="L14" i="32" s="1"/>
  <c r="AB5" i="32"/>
  <c r="AG5" i="32" s="1"/>
  <c r="AG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5" i="32"/>
  <c r="AE12" i="32"/>
  <c r="AF7" i="32"/>
  <c r="AF12" i="32" s="1"/>
  <c r="Z16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1" i="20"/>
  <c r="K152" i="20"/>
  <c r="K153" i="20"/>
  <c r="K154" i="20"/>
  <c r="K155" i="20"/>
  <c r="J151" i="20"/>
  <c r="J152" i="20"/>
  <c r="J153" i="20"/>
  <c r="J154" i="20"/>
  <c r="J155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H152" i="20"/>
  <c r="H153" i="20"/>
  <c r="H154" i="20"/>
  <c r="H155" i="20"/>
  <c r="I140" i="20"/>
  <c r="D139" i="20"/>
  <c r="J150" i="20" l="1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9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9" i="18" l="1"/>
  <c r="N28" i="18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0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8" i="18" s="1"/>
  <c r="B27" i="14"/>
  <c r="E21" i="14"/>
  <c r="E20" i="14" s="1"/>
  <c r="F15" i="18" l="1"/>
  <c r="G15" i="18" s="1"/>
  <c r="L29" i="18"/>
  <c r="E33" i="13"/>
  <c r="G34" i="13"/>
  <c r="I97" i="20"/>
  <c r="K97" i="20"/>
  <c r="J97" i="20"/>
  <c r="F108" i="15"/>
  <c r="C20" i="18"/>
  <c r="E19" i="14"/>
  <c r="G20" i="14"/>
  <c r="G21" i="14"/>
  <c r="L30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<sst xmlns="http://schemas.openxmlformats.org/spreadsheetml/2006/main" count="2789" uniqueCount="1180">
  <si>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</si>
  <si>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</si>
  <si>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</si>
  <si>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</si>
  <si>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</si>
  <si>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</si>
  <si>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</si>
  <si>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</si>
  <si>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</si>
  <si>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</si>
  <si>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</si>
  <si>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</si>
  <si>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</si>
  <si>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</si>
  <si>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</si>
  <si>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</si>
  <si>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</si>
  <si>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</si>
  <si>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</si>
  <si>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</si>
  <si>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</si>
  <si>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</si>
  <si>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</si>
  <si>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</si>
  <si>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</si>
  <si>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</si>
  <si>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</si>
  <si>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</si>
  <si>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</si>
  <si>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</si>
  <si>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</si>
  <si>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</si>
  <si>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</si>
  <si>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</si>
  <si>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</si>
  <si>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</si>
  <si>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</si>
  <si>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</si>
  <si>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</si>
  <si>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</si>
  <si>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</si>
  <si>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</si>
  <si>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</si>
  <si>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</si>
  <si>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</si>
  <si>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</si>
  <si>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</si>
  <si>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</si>
  <si>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</si>
  <si>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</si>
  <si>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</si>
  <si>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</si>
  <si>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</si>
  <si>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</si>
  <si>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</si>
  <si>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</si>
  <si>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</si>
  <si>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</si>
  <si>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</si>
  <si>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</si>
  <si>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</si>
  <si>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</si>
  <si>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</si>
  <si>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</si>
  <si>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</si>
  <si>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</si>
  <si>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</si>
  <si>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</si>
  <si>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</si>
  <si>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</si>
  <si>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</si>
  <si>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</si>
  <si>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</si>
  <si>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</si>
  <si>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</si>
  <si>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</si>
  <si>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</si>
  <si>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</si>
  <si>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</si>
  <si>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</si>
  <si>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</si>
  <si>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</si>
  <si>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</si>
  <si>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</si>
  <si>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</si>
  <si>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</si>
  <si>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</si>
  <si>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</si>
  <si>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</si>
  <si>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</si>
  <si>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</si>
  <si>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</si>
  <si>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</si>
  <si>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</si>
  <si>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</si>
  <si>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</si>
  <si>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</si>
  <si>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</si>
  <si>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</si>
  <si>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</si>
  <si>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</si>
  <si>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</si>
  <si>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</si>
  <si>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</si>
  <si>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</si>
  <si>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</si>
  <si>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</si>
  <si>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</si>
  <si>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</si>
  <si>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</si>
  <si>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</si>
  <si>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</si>
  <si>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</si>
  <si>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</si>
  <si>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</si>
  <si>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</si>
  <si>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</si>
  <si>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</si>
  <si>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</si>
  <si>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</si>
  <si>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</si>
  <si>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</si>
  <si>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</si>
  <si>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</si>
  <si>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</si>
  <si>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</si>
  <si>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</si>
  <si>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</si>
  <si>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</si>
  <si>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</si>
  <si>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</si>
  <si>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</si>
  <si>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</si>
  <si>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</si>
  <si>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</si>
  <si>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</si>
  <si>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</si>
  <si>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</si>
  <si>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</si>
  <si>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</si>
  <si>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</si>
  <si>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</si>
  <si>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</si>
  <si>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</si>
  <si>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</si>
  <si>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</si>
  <si>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</si>
  <si>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</si>
  <si>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</si>
  <si>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</si>
  <si>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</si>
  <si>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</si>
  <si>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</si>
  <si>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</si>
  <si>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</si>
  <si>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</si>
  <si>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</si>
  <si>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</si>
  <si>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</si>
  <si>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</si>
  <si>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</si>
  <si>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</si>
  <si>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</si>
  <si>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</si>
  <si>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</si>
  <si>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</si>
  <si>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</si>
  <si>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</si>
  <si>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</si>
  <si>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</si>
  <si>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</si>
  <si>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</si>
  <si>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</si>
  <si>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</si>
  <si>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</si>
  <si>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</si>
  <si>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</si>
  <si>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</si>
  <si>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</si>
  <si>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</si>
  <si>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</si>
  <si>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</si>
  <si>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</si>
  <si>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</si>
  <si>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</si>
  <si>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</si>
  <si>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</si>
  <si>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</si>
  <si>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</si>
  <si>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</si>
  <si>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</si>
  <si>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</si>
  <si>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</si>
  <si>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</si>
  <si>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</si>
  <si>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</si>
  <si>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</si>
  <si>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</si>
  <si>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</si>
  <si>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</si>
  <si>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</si>
  <si>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</si>
  <si>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</si>
  <si>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</si>
  <si>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</si>
  <si>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</si>
  <si>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</si>
  <si>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</si>
  <si>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</si>
  <si>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</si>
  <si>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</si>
  <si>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</si>
  <si>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</si>
  <si>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</si>
  <si>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</si>
  <si>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</si>
  <si>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</si>
  <si>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</si>
  <si>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</si>
  <si>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</si>
  <si>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</si>
  <si>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</si>
  <si>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</si>
  <si>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</si>
  <si>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</si>
  <si>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</si>
  <si>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</si>
  <si>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</si>
  <si>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</si>
  <si>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</si>
  <si>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</si>
  <si>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</si>
  <si>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</si>
  <si>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</si>
  <si>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</si>
  <si>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</si>
  <si>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</si>
  <si>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</si>
  <si>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</si>
  <si>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</si>
  <si>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</si>
  <si>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</si>
  <si>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</si>
  <si>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</si>
  <si>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</si>
  <si>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</si>
  <si>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</si>
  <si>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</si>
  <si>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</si>
  <si>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</si>
  <si>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</si>
  <si>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</si>
  <si>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</si>
  <si>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</si>
  <si>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</si>
  <si>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</si>
  <si>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</si>
  <si>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</si>
  <si>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</si>
  <si>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</si>
  <si>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</si>
  <si>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</si>
  <si>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</si>
  <si>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</si>
  <si>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</si>
  <si>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</si>
  <si>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</si>
  <si>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</si>
  <si>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</si>
  <si>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</si>
  <si>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</si>
  <si>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</si>
  <si>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</si>
  <si>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</si>
  <si>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</si>
  <si>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</si>
  <si>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</si>
  <si>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</si>
  <si>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</si>
  <si>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</si>
  <si>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</si>
  <si>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</si>
  <si>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</si>
  <si>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</si>
  <si>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</si>
  <si>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</si>
  <si>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</si>
  <si>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</si>
  <si>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</si>
  <si>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</si>
  <si>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</si>
  <si>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</si>
  <si>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</si>
  <si>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</si>
  <si>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</si>
  <si>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</si>
  <si>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</si>
  <si>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</si>
  <si>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</si>
  <si>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</si>
  <si>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</si>
  <si>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</si>
  <si>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</si>
  <si>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</si>
  <si>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</si>
  <si>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</si>
  <si>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</si>
  <si>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</si>
  <si>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</si>
  <si>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</si>
  <si>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</si>
  <si>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</si>
  <si>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</si>
  <si>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</si>
  <si>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</si>
  <si>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</si>
  <si>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</si>
  <si>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</si>
  <si>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</si>
  <si>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</si>
  <si>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</si>
  <si>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</si>
  <si>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</si>
  <si>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</si>
  <si>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</si>
  <si>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</si>
  <si>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</si>
  <si>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</si>
  <si>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</si>
  <si>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</si>
  <si>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</si>
  <si>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</si>
  <si>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</si>
  <si>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</si>
  <si>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</si>
  <si>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</si>
  <si>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</si>
  <si>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</si>
  <si>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</si>
  <si>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</si>
  <si>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</si>
  <si>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</si>
  <si>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</si>
  <si>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</si>
  <si>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</si>
  <si>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</si>
  <si>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</si>
  <si>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</si>
  <si>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</si>
  <si>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</si>
  <si>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</si>
  <si>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</si>
  <si>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</si>
  <si>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</si>
  <si>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</si>
  <si>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</si>
  <si>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</si>
  <si>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</si>
  <si>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</si>
  <si>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</si>
  <si>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</si>
  <si>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</si>
  <si>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</si>
  <si>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</si>
  <si>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</si>
  <si>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</si>
  <si>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</si>
  <si>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</si>
  <si>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</si>
  <si>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</si>
  <si>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</si>
  <si>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</si>
  <si>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</si>
  <si>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</si>
  <si>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</si>
  <si>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</si>
  <si>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</si>
  <si>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</si>
  <si>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</si>
  <si>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</si>
  <si>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</si>
  <si>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</si>
  <si>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</si>
  <si>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</si>
  <si>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</si>
  <si>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</si>
  <si>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</si>
  <si>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</si>
  <si>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</si>
  <si>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</si>
  <si>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</si>
  <si>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</si>
  <si>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</si>
  <si>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</si>
  <si>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</si>
  <si>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</si>
  <si>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</si>
  <si>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</si>
  <si>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</si>
  <si>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</si>
  <si>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</si>
  <si>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</si>
  <si>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</si>
  <si>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</si>
  <si>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</si>
  <si>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</si>
  <si>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</si>
  <si>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</si>
  <si>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</si>
  <si>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</si>
  <si>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</si>
  <si>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</si>
  <si>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</si>
  <si>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</si>
  <si>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</si>
  <si>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</si>
  <si>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</si>
  <si>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</si>
  <si>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</si>
  <si>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</si>
  <si>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</si>
  <si>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</si>
  <si>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</si>
  <si>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</si>
  <si>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</si>
  <si>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</si>
  <si>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</si>
  <si>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</si>
  <si>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</si>
  <si>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</si>
  <si>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</si>
  <si>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</si>
  <si>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</si>
  <si>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</si>
  <si>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</si>
  <si>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</si>
  <si>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</si>
  <si>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</si>
  <si>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</si>
  <si>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</si>
  <si>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</si>
  <si>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</si>
  <si>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</si>
  <si>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</si>
  <si>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</si>
  <si>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</si>
  <si>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</si>
  <si>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</si>
  <si>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</si>
  <si>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</si>
  <si>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</si>
  <si>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</si>
  <si>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</si>
  <si>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</si>
  <si>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</si>
  <si>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</si>
  <si>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</si>
  <si>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</si>
  <si>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</si>
  <si>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</si>
  <si>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</si>
  <si>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</si>
  <si>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</si>
  <si>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</si>
  <si>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</si>
  <si>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</si>
  <si>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</si>
  <si>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</si>
  <si>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</si>
  <si>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</si>
  <si>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</si>
  <si>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</si>
  <si>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</si>
  <si>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</si>
  <si>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</si>
  <si>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</si>
  <si>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</si>
  <si>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</si>
  <si>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</si>
  <si>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</si>
  <si>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</si>
  <si>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</si>
  <si>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</si>
  <si>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</si>
  <si>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</si>
  <si>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</si>
  <si>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</si>
  <si>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</si>
  <si>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</si>
  <si>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</si>
  <si>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</si>
  <si>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</si>
  <si>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</si>
  <si>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</si>
  <si>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</si>
  <si>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</si>
  <si>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</si>
  <si>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</si>
  <si>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</si>
  <si>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</si>
  <si>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</si>
  <si>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</si>
  <si>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</si>
  <si>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</si>
  <si>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</si>
  <si>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</si>
  <si>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</si>
  <si>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</si>
  <si>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</si>
  <si>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</si>
  <si>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</si>
  <si>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</si>
  <si>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</si>
  <si>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</si>
  <si>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</si>
  <si>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</si>
  <si>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</si>
  <si>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</si>
  <si>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</si>
  <si>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</si>
  <si>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</si>
  <si>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</si>
  <si>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</si>
  <si>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</si>
  <si>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</si>
  <si>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</si>
  <si>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</si>
  <si>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</si>
  <si>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</si>
  <si>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</si>
  <si>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</si>
  <si>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</si>
  <si>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</si>
  <si>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</si>
  <si>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</si>
  <si>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</si>
  <si>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</si>
  <si>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</si>
  <si>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</si>
  <si>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</si>
  <si>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</si>
  <si>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</si>
  <si>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</si>
  <si>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</si>
  <si>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</si>
  <si>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</si>
  <si>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</si>
  <si>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</si>
  <si>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</si>
  <si>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</si>
  <si>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</si>
  <si>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</si>
  <si>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</si>
  <si>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</si>
  <si>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</si>
  <si>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</si>
  <si>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</si>
  <si>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</si>
  <si>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</si>
  <si>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</si>
  <si>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</si>
  <si>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</si>
  <si>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</si>
  <si>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</si>
  <si>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</si>
  <si>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</si>
  <si>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</si>
  <si>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</si>
  <si>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</si>
  <si>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</si>
  <si>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</si>
  <si>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</si>
  <si>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</si>
  <si>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</si>
  <si>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</si>
  <si>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</si>
  <si>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</si>
  <si>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</si>
  <si>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</si>
  <si>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</si>
  <si>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</si>
  <si>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</si>
  <si>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</si>
  <si>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</si>
  <si>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</si>
  <si>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</si>
  <si>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</si>
  <si>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</si>
  <si>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</si>
  <si>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</si>
  <si>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</si>
  <si>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</si>
  <si>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</si>
  <si>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</si>
  <si>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</si>
  <si>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</si>
  <si>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</si>
  <si>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</si>
  <si>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</si>
  <si>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</si>
  <si>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</si>
  <si>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</si>
  <si>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</si>
  <si>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</si>
  <si>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</si>
  <si>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</si>
  <si>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</si>
  <si>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</si>
  <si>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</si>
  <si>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</si>
  <si>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</si>
  <si>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</si>
  <si>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</si>
  <si>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</si>
  <si>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</si>
  <si>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</si>
  <si>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</si>
  <si>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</si>
  <si>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</si>
  <si>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</si>
  <si>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</si>
  <si>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</si>
  <si>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</si>
  <si>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</si>
  <si>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</si>
  <si>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</si>
  <si>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</si>
  <si>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</si>
  <si>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</si>
  <si>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</si>
  <si>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</si>
  <si>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</si>
  <si>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</si>
  <si>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</si>
  <si>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</si>
  <si>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</si>
  <si>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</si>
  <si>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</si>
  <si>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</si>
  <si>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</si>
  <si>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</si>
  <si>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</si>
  <si>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</si>
  <si>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</si>
  <si>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</si>
  <si>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</si>
  <si>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</si>
  <si>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</si>
  <si>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</si>
  <si>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</si>
  <si>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</si>
  <si>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</si>
  <si>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</si>
  <si>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</si>
  <si>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</si>
  <si>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</si>
  <si>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</si>
  <si>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</si>
  <si>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</si>
  <si>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</si>
  <si>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</si>
  <si>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</si>
  <si>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</si>
  <si>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</si>
  <si>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</si>
  <si>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</si>
  <si>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</si>
  <si>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</si>
  <si>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</si>
  <si>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</si>
  <si>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</si>
  <si>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</si>
  <si>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</si>
  <si>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</si>
  <si>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</si>
  <si>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</si>
  <si>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</si>
  <si>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</si>
  <si>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</si>
  <si>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</si>
  <si>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</si>
  <si>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</si>
  <si>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</si>
  <si>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</si>
  <si>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</si>
  <si>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</si>
  <si>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</si>
  <si>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</si>
  <si>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</si>
  <si>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</si>
  <si>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</si>
  <si>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</si>
  <si>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</si>
  <si>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</si>
  <si>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</si>
  <si>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</si>
  <si>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</si>
  <si>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</si>
  <si>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</si>
  <si>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</si>
  <si>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</si>
  <si>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</si>
  <si>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</si>
  <si>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</si>
  <si>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</si>
  <si>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</si>
  <si>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</si>
  <si>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</si>
  <si>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</si>
  <si>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</si>
  <si>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</si>
  <si>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</si>
  <si>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</si>
  <si>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</si>
  <si>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</si>
  <si>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</si>
  <si>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</si>
  <si>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</si>
  <si>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</si>
  <si>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</si>
  <si>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</si>
  <si>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</si>
  <si>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</si>
  <si>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</si>
  <si>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</si>
  <si>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</si>
  <si>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</si>
  <si>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</si>
  <si>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</si>
  <si>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</si>
  <si>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</si>
  <si>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</si>
  <si>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</si>
  <si>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</si>
  <si>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</si>
  <si>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</si>
  <si>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</si>
  <si>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</si>
  <si>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</si>
  <si>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</si>
  <si>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</si>
  <si>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</si>
  <si>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</si>
  <si>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</si>
  <si>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</si>
  <si>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</si>
  <si>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</si>
  <si>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</si>
  <si>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</si>
  <si>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</si>
  <si>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</si>
  <si>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</si>
  <si>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</si>
  <si>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</si>
  <si>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</si>
  <si>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</si>
  <si>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</si>
  <si>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</si>
  <si>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</si>
  <si>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</si>
  <si>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</si>
  <si>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</si>
  <si>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</si>
  <si>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</si>
  <si>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</si>
  <si>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</si>
  <si>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</si>
  <si>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</si>
  <si>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</si>
  <si>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</si>
  <si>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</si>
  <si>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</si>
  <si>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</si>
  <si>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</si>
  <si>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</si>
  <si>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</si>
  <si>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</si>
  <si>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</si>
  <si>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</si>
  <si>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</si>
  <si>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</si>
  <si>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</si>
  <si>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</si>
  <si>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</si>
  <si>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</si>
  <si>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</si>
  <si>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</si>
  <si>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</si>
  <si>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</si>
  <si>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</si>
  <si>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</si>
  <si>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</si>
  <si>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</si>
  <si>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</si>
  <si>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</si>
  <si>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</si>
  <si>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</si>
  <si>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</si>
  <si>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</si>
  <si>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</si>
  <si>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</si>
  <si>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</si>
  <si>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</si>
  <si>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</si>
  <si>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</si>
  <si>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</si>
  <si>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</si>
  <si>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</si>
  <si>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</si>
  <si>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</si>
  <si>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</si>
  <si>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</si>
  <si>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</si>
  <si>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</si>
  <si>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</si>
  <si>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</si>
  <si>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</si>
  <si>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</si>
  <si>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</si>
  <si>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</si>
  <si>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</si>
  <si>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</si>
  <si>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</si>
  <si>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</si>
  <si>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</si>
  <si>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</si>
  <si>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</si>
  <si>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</si>
  <si>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</si>
  <si>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</si>
  <si>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</si>
  <si>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</si>
  <si>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</si>
  <si>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</si>
  <si>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</si>
  <si>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</si>
  <si>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</si>
  <si>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</si>
  <si>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</si>
  <si>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</si>
  <si>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</si>
  <si>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</si>
  <si>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</si>
  <si>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</si>
  <si>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</si>
  <si>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</si>
  <si>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</si>
  <si>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</si>
  <si>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</si>
  <si>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</si>
  <si>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</si>
  <si>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</si>
  <si>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</si>
  <si>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</si>
  <si>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</si>
  <si>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</si>
  <si>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</si>
  <si>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</si>
  <si>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</si>
  <si>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</si>
  <si>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</si>
  <si>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</si>
  <si>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</si>
  <si>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</si>
  <si>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</si>
  <si>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</si>
  <si>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</si>
  <si>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</si>
  <si>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</si>
  <si>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</si>
  <si>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</si>
  <si>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</si>
  <si>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</si>
  <si>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</si>
  <si>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</si>
  <si>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</si>
  <si>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</si>
  <si>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</si>
  <si>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</si>
  <si>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</si>
  <si>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</si>
  <si>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</si>
  <si>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</si>
  <si>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</si>
  <si>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</si>
  <si>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</si>
  <si>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</si>
  <si>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</si>
  <si>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</si>
  <si>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</si>
  <si>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</si>
  <si>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</si>
  <si>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</si>
  <si>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</si>
  <si>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</si>
  <si>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</si>
  <si>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</si>
  <si>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</si>
  <si>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</si>
  <si>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</si>
  <si>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</si>
  <si>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</si>
  <si>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</si>
  <si>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</si>
  <si>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</si>
  <si>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</si>
  <si>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</si>
  <si>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</si>
  <si>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</si>
  <si>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</si>
  <si>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</si>
  <si>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</si>
  <si>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</si>
  <si>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</si>
  <si>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</si>
  <si>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</si>
  <si>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</si>
  <si>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</si>
  <si>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</si>
  <si>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</si>
  <si>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</si>
  <si>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</si>
  <si>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</si>
  <si>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</si>
  <si>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</si>
  <si>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</si>
  <si>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</si>
  <si>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</si>
  <si>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</si>
  <si>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</si>
  <si>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</si>
  <si>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</si>
  <si>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</si>
  <si>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</si>
  <si>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</si>
  <si>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</si>
  <si>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</si>
  <si>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</si>
  <si>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</si>
  <si>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</si>
  <si>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</si>
  <si>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</si>
  <si>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</si>
  <si>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</si>
  <si>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</si>
  <si>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</si>
  <si>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</si>
  <si>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</si>
  <si>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</si>
  <si>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</si>
  <si>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</si>
  <si>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</si>
  <si>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</si>
  <si>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</si>
  <si>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</si>
  <si>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</si>
  <si>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</si>
  <si>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</si>
  <si>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</si>
  <si>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</si>
  <si>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</si>
  <si>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</si>
  <si>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</si>
  <si>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</si>
  <si>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</si>
  <si>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</si>
  <si>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</si>
  <si>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</si>
  <si>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</si>
  <si>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</si>
  <si>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</si>
  <si>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</si>
  <si>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</si>
  <si>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</si>
  <si>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</si>
  <si>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</si>
  <si>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</si>
  <si>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</si>
  <si>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</si>
  <si>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</si>
  <si>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</si>
  <si>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</si>
  <si>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</si>
  <si>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</si>
  <si>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</si>
  <si>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</si>
  <si>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</si>
  <si>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</si>
  <si>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</si>
  <si>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</si>
  <si>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</si>
  <si>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</si>
  <si>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</si>
  <si>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</si>
  <si>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</si>
  <si>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</si>
  <si>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</si>
  <si>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</si>
  <si>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</si>
  <si>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</si>
  <si>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</si>
  <si>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</si>
  <si>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</si>
  <si>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</si>
  <si>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</si>
  <si>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</si>
  <si>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</si>
  <si>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</si>
  <si>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</si>
  <si>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</si>
  <si>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</si>
  <si>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</si>
  <si>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</si>
  <si>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</si>
  <si>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</si>
  <si>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</si>
  <si>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</si>
  <si>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</si>
  <si>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</si>
  <si>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</si>
  <si>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</si>
  <si>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</si>
  <si>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</si>
  <si>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</si>
  <si>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</si>
  <si>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</si>
  <si>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</si>
  <si>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</si>
  <si>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</si>
  <si>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</si>
  <si>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</si>
  <si>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</si>
  <si>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</si>
  <si>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</si>
  <si>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</si>
  <si>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</si>
  <si>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</si>
  <si>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</si>
  <si>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</si>
  <si>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</si>
  <si>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</si>
  <si>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</si>
  <si>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</si>
  <si>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</si>
  <si>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</si>
  <si>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</si>
  <si>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</si>
  <si>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</si>
  <si>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</si>
  <si>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</si>
  <si>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</si>
  <si>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</si>
  <si>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</si>
  <si>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</si>
  <si>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</si>
  <si>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</si>
  <si>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</si>
  <si>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</si>
  <si>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</si>
  <si>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</si>
  <si>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</si>
  <si>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</si>
  <si>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</si>
  <si>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</si>
  <si>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</si>
  <si>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</si>
  <si>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</si>
  <si>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</si>
  <si>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</si>
  <si>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</si>
  <si>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</si>
  <si>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</si>
  <si>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</si>
  <si>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</si>
  <si>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</si>
  <si>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</si>
  <si>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</si>
  <si>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</si>
  <si>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</si>
  <si>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</si>
  <si>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</si>
  <si>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</si>
  <si>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</si>
  <si>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</si>
  <si>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</si>
  <si>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</si>
  <si>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</si>
  <si>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</si>
  <si>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</si>
  <si>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</si>
  <si>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</si>
  <si>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</si>
  <si>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</si>
  <si>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</si>
  <si>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</si>
  <si>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</si>
  <si>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</si>
  <si>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</si>
  <si>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</si>
  <si>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</si>
  <si>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</si>
  <si>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</si>
  <si>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</si>
  <si>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</si>
  <si>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</si>
  <si>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</si>
  <si>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</si>
  <si>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</si>
  <si>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</si>
  <si>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</si>
  <si>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</si>
  <si>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</si>
  <si>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</si>
  <si>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</si>
  <si>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</si>
  <si>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</si>
  <si>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</si>
  <si>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</si>
  <si>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</si>
  <si>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</si>
  <si>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</si>
  <si>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</si>
  <si>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</si>
  <si>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</si>
  <si>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</si>
  <si>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</si>
  <si>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</si>
  <si>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</si>
  <si>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</si>
  <si>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</si>
  <si>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</si>
  <si>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</si>
  <si>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</si>
  <si>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</si>
  <si>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</si>
  <si>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</si>
  <si>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</si>
  <si>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</si>
  <si>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</si>
  <si>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</si>
  <si>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</si>
  <si>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</si>
  <si>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</si>
  <si>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</si>
  <si>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</si>
  <si>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</si>
  <si>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</si>
  <si>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</si>
  <si>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</si>
  <si>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</si>
  <si>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</si>
  <si>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</si>
  <si>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</si>
  <si>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</si>
  <si>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</si>
  <si>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</si>
  <si>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</si>
  <si>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</si>
  <si>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</si>
  <si>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</si>
  <si>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</si>
  <si>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</si>
  <si>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</si>
  <si>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</si>
  <si>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</si>
  <si>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</si>
  <si>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</si>
  <si>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</si>
  <si>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</si>
  <si>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</si>
  <si>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</si>
  <si>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</si>
  <si>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</si>
  <si>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</si>
  <si>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</si>
  <si>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از کارت یاران مریم</t>
  </si>
  <si>
    <t>سکه 9712</t>
  </si>
  <si>
    <t>سکه9712</t>
  </si>
  <si>
    <t>خرید و فروش مختلف و نوسان گیری</t>
  </si>
  <si>
    <t>سخاب7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</si>
</sst>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0" xfId="0" applyFill="1" applyAlignment="1">
      <alignment horizontal="justify" vertical="center"/>
    </xf>
    <xf numFmtId="0" fontId="0" fillId="23" borderId="0" xfId="0" applyFill="1" applyAlignment="1">
      <alignment horizontal="justify" vertical="center"/>
    </xf>
    <xf numFmtId="0" fontId="3" fillId="2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0" fillId="24" borderId="1" xfId="0" applyFill="1" applyBorder="1"/>
    <xf numFmtId="164" fontId="0" fillId="24" borderId="1" xfId="0" applyNumberFormat="1" applyFill="1" applyBorder="1" applyAlignment="1">
      <alignment horizontal="center"/>
    </xf>
    <xf numFmtId="164" fontId="0" fillId="24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opLeftCell="A10" workbookViewId="0">
      <selection activeCell="G38" sqref="G38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1111</v>
      </c>
      <c r="R1" s="11" t="s">
        <v>180</v>
      </c>
      <c r="S1" s="11" t="s">
        <v>267</v>
      </c>
      <c r="T1" s="11" t="s">
        <v>452</v>
      </c>
      <c r="U1" s="11" t="s">
        <v>754</v>
      </c>
      <c r="V1" s="11" t="s">
        <v>280</v>
      </c>
      <c r="W1" s="11" t="s">
        <v>1127</v>
      </c>
      <c r="X1" s="11" t="s">
        <v>35</v>
      </c>
      <c r="Y1" s="11" t="s">
        <v>37</v>
      </c>
      <c r="Z1" s="11" t="s">
        <v>484</v>
      </c>
      <c r="AH1" s="98" t="s">
        <v>1139</v>
      </c>
      <c r="AI1" s="98"/>
      <c r="AJ1" s="98"/>
      <c r="AK1" s="98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1111</v>
      </c>
      <c r="R2" s="11" t="s">
        <v>1126</v>
      </c>
      <c r="S2" s="86">
        <v>168000000</v>
      </c>
      <c r="T2" s="86">
        <v>91000000</v>
      </c>
      <c r="U2" s="86">
        <v>77000000</v>
      </c>
      <c r="V2" s="11">
        <v>4</v>
      </c>
      <c r="W2" s="11">
        <f>W3+V2</f>
        <v>4</v>
      </c>
      <c r="X2" s="86">
        <f>S2*W2</f>
        <v>672000000</v>
      </c>
      <c r="Y2" s="86">
        <f>T2*W2</f>
        <v>364000000</v>
      </c>
      <c r="Z2" s="86">
        <f>U2*W2</f>
        <v>308000000</v>
      </c>
      <c r="AH2" s="98"/>
      <c r="AI2" s="98"/>
      <c r="AJ2" s="98"/>
      <c r="AK2" s="98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1112</v>
      </c>
      <c r="R3" s="11" t="s">
        <v>1128</v>
      </c>
      <c r="S3" s="86">
        <v>0</v>
      </c>
      <c r="T3" s="86">
        <v>0</v>
      </c>
      <c r="U3" s="86">
        <v>0</v>
      </c>
      <c r="V3" s="11">
        <v>0</v>
      </c>
      <c r="W3" s="11">
        <f t="shared" ref="W3:W9" si="0">W4+V3</f>
        <v>0</v>
      </c>
      <c r="X3" s="86"/>
      <c r="Y3" s="86"/>
      <c r="Z3" s="86"/>
      <c r="AH3" s="99" t="s">
        <v>1140</v>
      </c>
      <c r="AI3" s="100" t="s">
        <v>1141</v>
      </c>
      <c r="AJ3" s="99" t="s">
        <v>1142</v>
      </c>
      <c r="AK3" s="101" t="s">
        <v>1143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99"/>
      <c r="AI4" s="100"/>
      <c r="AJ4" s="99"/>
      <c r="AK4" s="101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1113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6" t="s">
        <v>1144</v>
      </c>
      <c r="AI5" s="96" t="s">
        <v>1145</v>
      </c>
      <c r="AJ5" s="96" t="s">
        <v>1146</v>
      </c>
      <c r="AK5" s="96" t="s">
        <v>1147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1114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7" t="s">
        <v>1148</v>
      </c>
      <c r="AI6" s="97" t="s">
        <v>1149</v>
      </c>
      <c r="AJ6" s="97" t="s">
        <v>1150</v>
      </c>
      <c r="AK6" s="97" t="s">
        <v>1151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1115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1116</v>
      </c>
      <c r="J9">
        <v>232</v>
      </c>
      <c r="K9">
        <v>2.12</v>
      </c>
      <c r="L9">
        <f>$J$9/K9</f>
        <v>109.43396226415094</v>
      </c>
      <c r="O9" t="s">
        <v>1123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3" si="5">$J$9/K10</f>
        <v>114.85148514851485</v>
      </c>
      <c r="O10" t="s">
        <v>1124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1117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1118</v>
      </c>
      <c r="K12">
        <v>1.82</v>
      </c>
      <c r="L12">
        <f t="shared" si="5"/>
        <v>127.47252747252747</v>
      </c>
      <c r="O12" t="s">
        <v>754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5"/>
        <v>134.88372093023256</v>
      </c>
      <c r="O13" t="s">
        <v>1136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1119</v>
      </c>
      <c r="K14">
        <v>1.62</v>
      </c>
      <c r="L14">
        <f>$J$9/K14</f>
        <v>143.20987654320987</v>
      </c>
      <c r="O14" t="s">
        <v>1137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1120</v>
      </c>
      <c r="O15" t="s">
        <v>1125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1156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1121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  <row r="36" spans="6:7" x14ac:dyDescent="0.25">
      <c r="F36" t="s">
        <v>1168</v>
      </c>
      <c r="G36">
        <v>24</v>
      </c>
    </row>
    <row r="37" spans="6:7" x14ac:dyDescent="0.25">
      <c r="F37" t="s">
        <v>1167</v>
      </c>
      <c r="G37">
        <v>21.6</v>
      </c>
    </row>
    <row r="38" spans="6:7" x14ac:dyDescent="0.25">
      <c r="F38" t="s">
        <v>1169</v>
      </c>
      <c r="G38">
        <v>31.1</v>
      </c>
    </row>
    <row r="39" spans="6:7" x14ac:dyDescent="0.25">
      <c r="F39" t="s">
        <v>1170</v>
      </c>
      <c r="G39">
        <v>8.1329999999999991</v>
      </c>
    </row>
    <row r="40" spans="6:7" x14ac:dyDescent="0.25">
      <c r="F40" t="s">
        <v>1171</v>
      </c>
      <c r="G40">
        <v>1333</v>
      </c>
    </row>
    <row r="41" spans="6:7" x14ac:dyDescent="0.25">
      <c r="F41" t="s">
        <v>1172</v>
      </c>
      <c r="G41">
        <v>7000</v>
      </c>
    </row>
    <row r="42" spans="6:7" x14ac:dyDescent="0.25">
      <c r="F42" t="s">
        <v>1174</v>
      </c>
      <c r="G42">
        <v>5000</v>
      </c>
    </row>
    <row r="43" spans="6:7" x14ac:dyDescent="0.25">
      <c r="F43" t="s">
        <v>1173</v>
      </c>
      <c r="G43" s="29">
        <f>G41*G39*G37*G40/(G36*G38)+G42</f>
        <v>2201145.3601286169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1126</v>
      </c>
      <c r="B4" s="18">
        <v>-52000000</v>
      </c>
      <c r="C4" s="18">
        <v>0</v>
      </c>
      <c r="D4" s="3">
        <f t="shared" si="0"/>
        <v>-52000000</v>
      </c>
      <c r="E4" s="11" t="s">
        <v>1130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958</v>
      </c>
      <c r="B5" s="18">
        <v>0</v>
      </c>
      <c r="C5" s="18">
        <v>0</v>
      </c>
      <c r="D5" s="3">
        <f t="shared" si="0"/>
        <v>0</v>
      </c>
      <c r="E5" s="20" t="s">
        <v>1043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1068</v>
      </c>
      <c r="B6" s="18">
        <v>0</v>
      </c>
      <c r="C6" s="18">
        <v>0</v>
      </c>
      <c r="D6" s="3">
        <f t="shared" si="0"/>
        <v>0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1110</v>
      </c>
      <c r="G31" s="9" t="s">
        <v>1071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1109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1152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721</v>
      </c>
      <c r="B5" s="18">
        <v>-1000000</v>
      </c>
      <c r="C5" s="18">
        <v>-1000000</v>
      </c>
      <c r="D5" s="3">
        <f t="shared" si="0"/>
        <v>0</v>
      </c>
      <c r="E5" s="20" t="s">
        <v>742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725</v>
      </c>
      <c r="B6" s="18">
        <v>-50000000</v>
      </c>
      <c r="C6" s="18">
        <v>0</v>
      </c>
      <c r="D6" s="3">
        <f t="shared" si="0"/>
        <v>-50000000</v>
      </c>
      <c r="E6" s="19" t="s">
        <v>726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727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750</v>
      </c>
      <c r="B4" s="18">
        <v>-1210700</v>
      </c>
      <c r="C4" s="18">
        <v>0</v>
      </c>
      <c r="D4" s="3">
        <f t="shared" si="0"/>
        <v>-1210700</v>
      </c>
      <c r="E4" s="11" t="s">
        <v>751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-97300</v>
      </c>
      <c r="C5" s="18">
        <v>0</v>
      </c>
      <c r="D5" s="3">
        <f t="shared" si="0"/>
        <v>-97300</v>
      </c>
      <c r="E5" s="20" t="s">
        <v>772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-1000000</v>
      </c>
      <c r="C6" s="18">
        <v>-1000000</v>
      </c>
      <c r="D6" s="3">
        <f t="shared" si="0"/>
        <v>0</v>
      </c>
      <c r="E6" s="19" t="s">
        <v>779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752</v>
      </c>
      <c r="G31" s="9" t="s">
        <v>782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806</v>
      </c>
      <c r="B4" s="18">
        <v>-1000500</v>
      </c>
      <c r="C4" s="18">
        <v>-1000500</v>
      </c>
      <c r="D4" s="3">
        <f t="shared" si="0"/>
        <v>0</v>
      </c>
      <c r="E4" s="11" t="s">
        <v>807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827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G162" sqref="G16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721</v>
      </c>
      <c r="B130" s="18">
        <v>-1000000</v>
      </c>
      <c r="C130" s="18">
        <v>-1000000</v>
      </c>
      <c r="D130" s="18">
        <f t="shared" si="12"/>
        <v>0</v>
      </c>
      <c r="E130" s="11" t="s">
        <v>742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725</v>
      </c>
      <c r="B131" s="18">
        <v>-50000000</v>
      </c>
      <c r="C131" s="18">
        <v>0</v>
      </c>
      <c r="D131" s="18">
        <f t="shared" si="12"/>
        <v>-50000000</v>
      </c>
      <c r="E131" s="11" t="s">
        <v>726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750</v>
      </c>
      <c r="B133" s="18">
        <v>-1210700</v>
      </c>
      <c r="C133" s="18">
        <v>0</v>
      </c>
      <c r="D133" s="18">
        <f t="shared" si="12"/>
        <v>-1210700</v>
      </c>
      <c r="E133" s="11" t="s">
        <v>751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767</v>
      </c>
      <c r="B134" s="18">
        <v>-65000</v>
      </c>
      <c r="C134" s="18">
        <v>0</v>
      </c>
      <c r="D134" s="18">
        <f t="shared" si="12"/>
        <v>-65000</v>
      </c>
      <c r="E134" s="11" t="s">
        <v>770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767</v>
      </c>
      <c r="B135" s="18">
        <v>-32300</v>
      </c>
      <c r="C135" s="18">
        <v>0</v>
      </c>
      <c r="D135" s="18">
        <f t="shared" si="12"/>
        <v>-32300</v>
      </c>
      <c r="E135" s="11" t="s">
        <v>771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778</v>
      </c>
      <c r="B136" s="18">
        <v>-1000000</v>
      </c>
      <c r="C136" s="18">
        <v>-1000000</v>
      </c>
      <c r="D136" s="18">
        <f t="shared" si="12"/>
        <v>0</v>
      </c>
      <c r="E136" s="11" t="s">
        <v>779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806</v>
      </c>
      <c r="B138" s="18">
        <v>-1000500</v>
      </c>
      <c r="C138" s="18">
        <v>-1000500</v>
      </c>
      <c r="D138" s="18">
        <f t="shared" si="12"/>
        <v>0</v>
      </c>
      <c r="E138" s="11" t="s">
        <v>807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827</v>
      </c>
      <c r="B139" s="18">
        <v>282240</v>
      </c>
      <c r="C139" s="18">
        <v>88807</v>
      </c>
      <c r="D139" s="18">
        <f t="shared" si="12"/>
        <v>193433</v>
      </c>
      <c r="E139" s="11" t="s">
        <v>830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832</v>
      </c>
      <c r="B140" s="18">
        <v>1500000</v>
      </c>
      <c r="C140" s="18">
        <v>0</v>
      </c>
      <c r="D140" s="18">
        <f t="shared" si="12"/>
        <v>1500000</v>
      </c>
      <c r="E140" s="11" t="s">
        <v>833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855</v>
      </c>
      <c r="B141" s="18">
        <v>0</v>
      </c>
      <c r="C141" s="18">
        <v>-1000000</v>
      </c>
      <c r="D141" s="18">
        <f t="shared" si="12"/>
        <v>1000000</v>
      </c>
      <c r="E141" s="11" t="s">
        <v>854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868</v>
      </c>
      <c r="B142" s="18">
        <v>290893</v>
      </c>
      <c r="C142" s="18">
        <v>81022</v>
      </c>
      <c r="D142" s="18">
        <f t="shared" si="12"/>
        <v>209871</v>
      </c>
      <c r="E142" s="11" t="s">
        <v>874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897</v>
      </c>
      <c r="B143" s="18">
        <v>0</v>
      </c>
      <c r="C143" s="18">
        <v>-1000000</v>
      </c>
      <c r="D143" s="18">
        <f t="shared" si="12"/>
        <v>1000000</v>
      </c>
      <c r="E143" s="11" t="s">
        <v>901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931</v>
      </c>
      <c r="B145" s="18">
        <v>-10000</v>
      </c>
      <c r="C145" s="18">
        <v>-5000</v>
      </c>
      <c r="D145" s="18">
        <f t="shared" si="12"/>
        <v>-5000</v>
      </c>
      <c r="E145" s="74" t="s">
        <v>937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917</v>
      </c>
      <c r="B146" s="18">
        <v>-1000500</v>
      </c>
      <c r="C146" s="18">
        <v>-1000500</v>
      </c>
      <c r="D146" s="18">
        <f t="shared" si="12"/>
        <v>0</v>
      </c>
      <c r="E146" s="11" t="s">
        <v>918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958</v>
      </c>
      <c r="B147" s="18">
        <v>-27000000</v>
      </c>
      <c r="C147" s="18">
        <v>0</v>
      </c>
      <c r="D147" s="18">
        <f t="shared" si="12"/>
        <v>-27000000</v>
      </c>
      <c r="E147" s="11" t="s">
        <v>1042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1068</v>
      </c>
      <c r="B148" s="18">
        <v>252436</v>
      </c>
      <c r="C148" s="18">
        <v>65510</v>
      </c>
      <c r="D148" s="18">
        <f t="shared" si="12"/>
        <v>186926</v>
      </c>
      <c r="E148" s="11" t="s">
        <v>1070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1107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1108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1126</v>
      </c>
      <c r="B150" s="18">
        <v>-52000000</v>
      </c>
      <c r="C150" s="18">
        <v>0</v>
      </c>
      <c r="D150" s="18">
        <f t="shared" si="18"/>
        <v>-52000000</v>
      </c>
      <c r="E150" s="11" t="s">
        <v>1129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8810063</v>
      </c>
      <c r="C156" s="29">
        <f>SUM(C2:C154)</f>
        <v>7551324</v>
      </c>
      <c r="D156" s="29">
        <f>SUM(D2:D154)</f>
        <v>1258739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873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832</v>
      </c>
      <c r="B3" s="18">
        <v>1500000</v>
      </c>
      <c r="C3" s="18">
        <v>0</v>
      </c>
      <c r="D3" s="43">
        <f t="shared" ref="D3:D22" si="0">B3-C3</f>
        <v>1500000</v>
      </c>
      <c r="E3" s="20" t="s">
        <v>833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853</v>
      </c>
      <c r="B4" s="18">
        <v>0</v>
      </c>
      <c r="C4" s="18">
        <v>-1000000</v>
      </c>
      <c r="D4" s="3">
        <f t="shared" si="0"/>
        <v>1000000</v>
      </c>
      <c r="E4" s="11" t="s">
        <v>854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868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841</v>
      </c>
      <c r="G31" s="9" t="s">
        <v>908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842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849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851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852</v>
      </c>
    </row>
    <row r="36" spans="4:17" x14ac:dyDescent="0.25">
      <c r="D36" s="42">
        <v>-10000</v>
      </c>
      <c r="E36" s="41" t="s">
        <v>862</v>
      </c>
    </row>
    <row r="37" spans="4:17" x14ac:dyDescent="0.25">
      <c r="D37" s="7">
        <v>-180000</v>
      </c>
      <c r="E37" s="41" t="s">
        <v>867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897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901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906</v>
      </c>
      <c r="B4" s="39">
        <v>294852</v>
      </c>
      <c r="C4" s="39">
        <v>74657</v>
      </c>
      <c r="D4" s="35">
        <f t="shared" si="0"/>
        <v>220195</v>
      </c>
      <c r="E4" s="23" t="s">
        <v>916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899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931</v>
      </c>
      <c r="B4" s="18">
        <v>-10000</v>
      </c>
      <c r="C4" s="18">
        <v>-5000</v>
      </c>
      <c r="D4" s="3">
        <f t="shared" si="0"/>
        <v>-5000</v>
      </c>
      <c r="E4" s="11" t="s">
        <v>937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958</v>
      </c>
      <c r="B5" s="18">
        <v>-27000000</v>
      </c>
      <c r="C5" s="18">
        <v>0</v>
      </c>
      <c r="D5" s="3">
        <f t="shared" si="0"/>
        <v>-27000000</v>
      </c>
      <c r="E5" s="20" t="s">
        <v>1043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1068</v>
      </c>
      <c r="B6" s="18">
        <v>252436</v>
      </c>
      <c r="C6" s="18">
        <v>65510</v>
      </c>
      <c r="D6" s="3">
        <f t="shared" si="0"/>
        <v>186926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1060</v>
      </c>
    </row>
    <row r="36" spans="4:17" x14ac:dyDescent="0.25">
      <c r="D36" s="42">
        <v>245000</v>
      </c>
      <c r="E36" s="41" t="s">
        <v>1060</v>
      </c>
    </row>
    <row r="37" spans="4:17" x14ac:dyDescent="0.25">
      <c r="D37" s="7">
        <v>-25000</v>
      </c>
      <c r="E37" s="41" t="s">
        <v>1064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Normal="100" workbookViewId="0">
      <pane ySplit="1" topLeftCell="A35" activePane="bottomLeft" state="frozen"/>
      <selection pane="bottomLeft" activeCell="AA5" sqref="AA5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85546875" bestFit="1" customWidth="1"/>
    <col min="18" max="18" width="27" bestFit="1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963</v>
      </c>
      <c r="B1" s="11" t="s">
        <v>960</v>
      </c>
      <c r="C1" s="11" t="s">
        <v>961</v>
      </c>
      <c r="D1" s="11" t="s">
        <v>972</v>
      </c>
      <c r="E1" s="11" t="s">
        <v>974</v>
      </c>
      <c r="F1" s="11" t="s">
        <v>964</v>
      </c>
      <c r="G1" s="11" t="s">
        <v>183</v>
      </c>
      <c r="H1" s="11" t="s">
        <v>979</v>
      </c>
      <c r="I1" s="11" t="s">
        <v>969</v>
      </c>
      <c r="J1" s="11" t="s">
        <v>975</v>
      </c>
      <c r="K1" s="11" t="s">
        <v>976</v>
      </c>
      <c r="L1" s="11" t="s">
        <v>970</v>
      </c>
      <c r="M1" s="11" t="s">
        <v>977</v>
      </c>
      <c r="N1" s="11" t="s">
        <v>5</v>
      </c>
      <c r="O1" s="11" t="s">
        <v>483</v>
      </c>
      <c r="P1" s="11" t="s">
        <v>39</v>
      </c>
      <c r="Q1" s="11" t="s">
        <v>1048</v>
      </c>
      <c r="R1" s="11" t="s">
        <v>980</v>
      </c>
      <c r="S1" s="74" t="s">
        <v>1065</v>
      </c>
      <c r="AB1" s="11" t="s">
        <v>979</v>
      </c>
      <c r="AC1" s="25"/>
    </row>
    <row r="2" spans="1:33" x14ac:dyDescent="0.25">
      <c r="A2" s="102" t="s">
        <v>950</v>
      </c>
      <c r="B2" s="102" t="s">
        <v>971</v>
      </c>
      <c r="C2" s="102">
        <v>400</v>
      </c>
      <c r="D2" s="102" t="s">
        <v>61</v>
      </c>
      <c r="E2" s="103">
        <v>96959</v>
      </c>
      <c r="F2" s="103">
        <v>39275391</v>
      </c>
      <c r="G2" s="102">
        <v>0</v>
      </c>
      <c r="H2" s="102">
        <v>21</v>
      </c>
      <c r="I2" s="103">
        <f t="shared" ref="I2:I32" si="0">F2*G2*($AB$2-H2)/(36500)</f>
        <v>0</v>
      </c>
      <c r="J2" s="102">
        <v>7.2499999999999995E-2</v>
      </c>
      <c r="K2" s="103">
        <f t="shared" ref="K2:K11" si="1">C2*E2*J2/100</f>
        <v>28118.11</v>
      </c>
      <c r="L2" s="102">
        <f>(E2*(1+J2/100)+I2/C2)/(1-J3/100)-(S2/C2)*(G2/365)*($AB$2/100)</f>
        <v>97099.692552100285</v>
      </c>
      <c r="M2" s="102"/>
      <c r="N2" s="102"/>
      <c r="O2" s="102"/>
      <c r="P2" s="102"/>
      <c r="Q2" s="102"/>
      <c r="R2" s="102"/>
      <c r="S2" s="103">
        <f>C2*E2+K2-F2</f>
        <v>-463672.8900000006</v>
      </c>
      <c r="AB2" s="11">
        <v>20</v>
      </c>
      <c r="AC2" s="25"/>
    </row>
    <row r="3" spans="1:33" x14ac:dyDescent="0.25">
      <c r="A3" s="102" t="s">
        <v>950</v>
      </c>
      <c r="B3" s="102" t="s">
        <v>971</v>
      </c>
      <c r="C3" s="102">
        <v>400</v>
      </c>
      <c r="D3" s="102" t="s">
        <v>973</v>
      </c>
      <c r="E3" s="103">
        <v>99999</v>
      </c>
      <c r="F3" s="103">
        <v>40434473</v>
      </c>
      <c r="G3" s="102"/>
      <c r="H3" s="102">
        <v>21</v>
      </c>
      <c r="I3" s="103">
        <f t="shared" si="0"/>
        <v>0</v>
      </c>
      <c r="J3" s="102">
        <v>7.2499999999999995E-2</v>
      </c>
      <c r="K3" s="103">
        <f t="shared" si="1"/>
        <v>28999.71</v>
      </c>
      <c r="L3" s="102">
        <v>1</v>
      </c>
      <c r="M3" s="104">
        <f>F3-F2</f>
        <v>1159082</v>
      </c>
      <c r="N3" s="102">
        <v>400</v>
      </c>
      <c r="O3" s="102">
        <f>C2-N3</f>
        <v>0</v>
      </c>
      <c r="P3" s="104">
        <f>M3*N3/C2</f>
        <v>1159082</v>
      </c>
      <c r="Q3" s="104">
        <f>M3*O3/C2</f>
        <v>0</v>
      </c>
      <c r="R3" s="102"/>
      <c r="S3" s="103">
        <f>-C3*E3+K3+F3</f>
        <v>463872.71000000089</v>
      </c>
      <c r="U3" s="82" t="s">
        <v>180</v>
      </c>
      <c r="V3" s="82" t="s">
        <v>966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967</v>
      </c>
      <c r="AC3" s="82" t="s">
        <v>1054</v>
      </c>
      <c r="AD3" s="82" t="s">
        <v>1055</v>
      </c>
      <c r="AE3" s="82" t="s">
        <v>1056</v>
      </c>
      <c r="AF3" s="82" t="s">
        <v>1057</v>
      </c>
      <c r="AG3" s="82" t="s">
        <v>968</v>
      </c>
    </row>
    <row r="4" spans="1:33" x14ac:dyDescent="0.25">
      <c r="A4" s="102" t="s">
        <v>950</v>
      </c>
      <c r="B4" s="102" t="s">
        <v>962</v>
      </c>
      <c r="C4" s="102">
        <v>3</v>
      </c>
      <c r="D4" s="102" t="s">
        <v>61</v>
      </c>
      <c r="E4" s="103">
        <v>80100</v>
      </c>
      <c r="F4" s="103">
        <v>240474</v>
      </c>
      <c r="G4" s="102">
        <v>5</v>
      </c>
      <c r="H4" s="102">
        <v>0</v>
      </c>
      <c r="I4" s="103">
        <f>F4*G4*($AB$2-H4)/(36500)</f>
        <v>658.83287671232881</v>
      </c>
      <c r="J4" s="102">
        <v>7.2499999999999995E-2</v>
      </c>
      <c r="K4" s="103">
        <f t="shared" si="1"/>
        <v>174.2175</v>
      </c>
      <c r="L4" s="102">
        <f>(E4*(1+J4/100)+I4/C4)/(1-J5/100)-(S4/C4)*(G4/365)*($AB$2/100)</f>
        <v>80435.999558584095</v>
      </c>
      <c r="M4" s="104"/>
      <c r="N4" s="102"/>
      <c r="O4" s="102"/>
      <c r="P4" s="104"/>
      <c r="Q4" s="104"/>
      <c r="R4" s="102"/>
      <c r="S4" s="103">
        <v>0</v>
      </c>
      <c r="U4" s="82" t="s">
        <v>1161</v>
      </c>
      <c r="V4" s="82" t="s">
        <v>60</v>
      </c>
      <c r="W4" s="85">
        <v>18000000</v>
      </c>
      <c r="X4" s="82" t="s">
        <v>1175</v>
      </c>
      <c r="Y4" s="85">
        <v>0</v>
      </c>
      <c r="Z4" s="86">
        <f>W4-Y4</f>
        <v>18000000</v>
      </c>
      <c r="AA4" s="82">
        <v>4</v>
      </c>
      <c r="AB4" s="85">
        <f t="shared" ref="AB4:AB10" si="2">W4*AA4*$AB$2/(365*100)</f>
        <v>39452.054794520547</v>
      </c>
      <c r="AC4" s="85">
        <v>0</v>
      </c>
      <c r="AD4" s="85">
        <f>AB4</f>
        <v>39452.054794520547</v>
      </c>
      <c r="AE4" s="85">
        <f>Y4+AC4</f>
        <v>0</v>
      </c>
      <c r="AF4" s="85">
        <f>Z4+AD4</f>
        <v>18039452.05479452</v>
      </c>
      <c r="AG4" s="86">
        <f t="shared" ref="AG4:AG9" si="3">W4+AB4</f>
        <v>18039452.05479452</v>
      </c>
    </row>
    <row r="5" spans="1:33" x14ac:dyDescent="0.25">
      <c r="A5" s="102" t="s">
        <v>1051</v>
      </c>
      <c r="B5" s="102" t="s">
        <v>962</v>
      </c>
      <c r="C5" s="102">
        <v>3</v>
      </c>
      <c r="D5" s="102" t="s">
        <v>973</v>
      </c>
      <c r="E5" s="103">
        <v>81000</v>
      </c>
      <c r="F5" s="103">
        <v>243596</v>
      </c>
      <c r="G5" s="102">
        <v>0</v>
      </c>
      <c r="H5" s="102">
        <v>0</v>
      </c>
      <c r="I5" s="103"/>
      <c r="J5" s="102">
        <v>7.2499999999999995E-2</v>
      </c>
      <c r="K5" s="103">
        <f t="shared" si="1"/>
        <v>176.17500000000001</v>
      </c>
      <c r="L5" s="102">
        <v>2</v>
      </c>
      <c r="M5" s="104">
        <f>F5-F4</f>
        <v>3122</v>
      </c>
      <c r="N5" s="102">
        <v>1.5</v>
      </c>
      <c r="O5" s="102">
        <v>1.5</v>
      </c>
      <c r="P5" s="104">
        <f>M5*N5/C4</f>
        <v>1561</v>
      </c>
      <c r="Q5" s="104">
        <f>M5*O5/C4</f>
        <v>1561</v>
      </c>
      <c r="R5" s="102"/>
      <c r="S5" s="103">
        <v>0</v>
      </c>
      <c r="U5" s="82" t="s">
        <v>1163</v>
      </c>
      <c r="V5" s="82" t="s">
        <v>60</v>
      </c>
      <c r="W5" s="85">
        <v>2500000</v>
      </c>
      <c r="X5" s="82" t="s">
        <v>1175</v>
      </c>
      <c r="Y5" s="85">
        <v>0</v>
      </c>
      <c r="Z5" s="86">
        <f t="shared" ref="Z5:Z8" si="4">W5-Y5</f>
        <v>2500000</v>
      </c>
      <c r="AA5" s="82">
        <f>AA4-1</f>
        <v>3</v>
      </c>
      <c r="AB5" s="85">
        <f t="shared" si="2"/>
        <v>4109.58904109589</v>
      </c>
      <c r="AC5" s="85">
        <v>0</v>
      </c>
      <c r="AD5" s="85">
        <f>AB5</f>
        <v>4109.58904109589</v>
      </c>
      <c r="AE5" s="85">
        <f t="shared" ref="AE5:AE11" si="5">Y5+AC5</f>
        <v>0</v>
      </c>
      <c r="AF5" s="85">
        <f t="shared" ref="AF5:AF11" si="6">Z5+AD5</f>
        <v>2504109.5890410957</v>
      </c>
      <c r="AG5" s="86">
        <f t="shared" si="3"/>
        <v>2504109.5890410957</v>
      </c>
    </row>
    <row r="6" spans="1:33" x14ac:dyDescent="0.25">
      <c r="A6" s="102" t="s">
        <v>950</v>
      </c>
      <c r="B6" s="102" t="s">
        <v>962</v>
      </c>
      <c r="C6" s="102">
        <v>497</v>
      </c>
      <c r="D6" s="102" t="s">
        <v>61</v>
      </c>
      <c r="E6" s="103">
        <v>80100</v>
      </c>
      <c r="F6" s="103">
        <v>39838611</v>
      </c>
      <c r="G6" s="102">
        <v>6</v>
      </c>
      <c r="H6" s="102">
        <v>0</v>
      </c>
      <c r="I6" s="103">
        <f>F6*G6*($AB$2-H6)/(36500)</f>
        <v>130976.25534246575</v>
      </c>
      <c r="J6" s="102">
        <v>7.2499999999999995E-2</v>
      </c>
      <c r="K6" s="103">
        <f t="shared" si="1"/>
        <v>28862.032500000001</v>
      </c>
      <c r="L6" s="102">
        <f>(E6*(1+J6/100)+I6/C6)/(1-J7/100)-(S6/C6)*(G6/365)*($AB$2/100)</f>
        <v>80479.954179743028</v>
      </c>
      <c r="M6" s="102"/>
      <c r="N6" s="102"/>
      <c r="O6" s="102"/>
      <c r="P6" s="102"/>
      <c r="Q6" s="102"/>
      <c r="R6" s="103">
        <v>81000</v>
      </c>
      <c r="S6" s="103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102" t="s">
        <v>1062</v>
      </c>
      <c r="B7" s="102" t="s">
        <v>962</v>
      </c>
      <c r="C7" s="102">
        <v>497</v>
      </c>
      <c r="D7" s="102" t="s">
        <v>973</v>
      </c>
      <c r="E7" s="103">
        <v>81400</v>
      </c>
      <c r="F7" s="103">
        <v>40426469</v>
      </c>
      <c r="G7" s="102">
        <v>0</v>
      </c>
      <c r="H7" s="102">
        <v>0</v>
      </c>
      <c r="I7" s="103">
        <f>F7*G7*($AB$2-H7)/(36500)</f>
        <v>0</v>
      </c>
      <c r="J7" s="102">
        <v>7.2499999999999995E-2</v>
      </c>
      <c r="K7" s="103">
        <f t="shared" si="1"/>
        <v>29330.455000000002</v>
      </c>
      <c r="L7" s="102">
        <v>9</v>
      </c>
      <c r="M7" s="104">
        <f>F7-F6</f>
        <v>587858</v>
      </c>
      <c r="N7" s="102">
        <v>248.5</v>
      </c>
      <c r="O7" s="102">
        <f>C6-N7</f>
        <v>248.5</v>
      </c>
      <c r="P7" s="104">
        <f>M7*N7/C6</f>
        <v>293929</v>
      </c>
      <c r="Q7" s="104">
        <f>M7*O7/C6</f>
        <v>293929</v>
      </c>
      <c r="R7" s="102"/>
      <c r="S7" s="103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102" t="s">
        <v>959</v>
      </c>
      <c r="B8" s="102" t="s">
        <v>978</v>
      </c>
      <c r="C8" s="102">
        <v>300</v>
      </c>
      <c r="D8" s="102" t="s">
        <v>61</v>
      </c>
      <c r="E8" s="103">
        <v>97219</v>
      </c>
      <c r="F8" s="103">
        <v>29203853</v>
      </c>
      <c r="G8" s="102">
        <v>3</v>
      </c>
      <c r="H8" s="102">
        <v>21</v>
      </c>
      <c r="I8" s="103">
        <f t="shared" si="0"/>
        <v>-2400.3166849315066</v>
      </c>
      <c r="J8" s="102">
        <v>7.2499999999999995E-2</v>
      </c>
      <c r="K8" s="103">
        <f t="shared" si="1"/>
        <v>21145.1325</v>
      </c>
      <c r="L8" s="102">
        <f>(E8*(1+J8/100)+I8/C8)/(1-J9/100)-(S8/C8)*(G8/365)*($AB$2/100)</f>
        <v>97352.15615882774</v>
      </c>
      <c r="M8" s="102"/>
      <c r="N8" s="102"/>
      <c r="O8" s="102"/>
      <c r="P8" s="102"/>
      <c r="Q8" s="102"/>
      <c r="R8" s="103"/>
      <c r="S8" s="103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102" t="s">
        <v>958</v>
      </c>
      <c r="B9" s="102" t="s">
        <v>978</v>
      </c>
      <c r="C9" s="102">
        <v>300</v>
      </c>
      <c r="D9" s="102" t="s">
        <v>973</v>
      </c>
      <c r="E9" s="103">
        <v>98000</v>
      </c>
      <c r="F9" s="103">
        <v>29446055</v>
      </c>
      <c r="G9" s="102">
        <v>0</v>
      </c>
      <c r="H9" s="102">
        <v>0</v>
      </c>
      <c r="I9" s="103">
        <f t="shared" si="0"/>
        <v>0</v>
      </c>
      <c r="J9" s="102">
        <v>7.2499999999999995E-2</v>
      </c>
      <c r="K9" s="103">
        <f t="shared" si="1"/>
        <v>21315</v>
      </c>
      <c r="L9" s="102">
        <v>3</v>
      </c>
      <c r="M9" s="104">
        <f>F9-F8</f>
        <v>242202</v>
      </c>
      <c r="N9" s="102">
        <v>300</v>
      </c>
      <c r="O9" s="102">
        <f>C8-N9</f>
        <v>0</v>
      </c>
      <c r="P9" s="104">
        <f>M9*N9/C8</f>
        <v>242202</v>
      </c>
      <c r="Q9" s="104">
        <f>M9*O9/C8</f>
        <v>0</v>
      </c>
      <c r="R9" s="103"/>
      <c r="S9" s="103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102" t="s">
        <v>959</v>
      </c>
      <c r="B10" s="102" t="s">
        <v>978</v>
      </c>
      <c r="C10" s="102">
        <v>100</v>
      </c>
      <c r="D10" s="102" t="s">
        <v>61</v>
      </c>
      <c r="E10" s="103">
        <v>97219</v>
      </c>
      <c r="F10" s="103">
        <v>9734617</v>
      </c>
      <c r="G10" s="102">
        <v>5</v>
      </c>
      <c r="H10" s="102">
        <v>21</v>
      </c>
      <c r="I10" s="103">
        <f>F10*G10*($AB$2-H10)/(36500)</f>
        <v>-1333.5091780821917</v>
      </c>
      <c r="J10" s="102">
        <v>7.2499999999999995E-2</v>
      </c>
      <c r="K10" s="103">
        <f t="shared" si="1"/>
        <v>7048.3774999999996</v>
      </c>
      <c r="L10" s="102">
        <f>(E10*(1+J10/100)+I10/C10)/(1-J11/100)-(S10/C10)*(G10/365)*($AB$2/100)</f>
        <v>97346.880363612901</v>
      </c>
      <c r="M10" s="102"/>
      <c r="N10" s="102"/>
      <c r="O10" s="102"/>
      <c r="P10" s="104"/>
      <c r="Q10" s="104"/>
      <c r="R10" s="102"/>
      <c r="S10" s="103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102" t="s">
        <v>1062</v>
      </c>
      <c r="B11" s="102" t="s">
        <v>978</v>
      </c>
      <c r="C11" s="102">
        <v>100</v>
      </c>
      <c r="D11" s="102" t="s">
        <v>973</v>
      </c>
      <c r="E11" s="103">
        <v>99500</v>
      </c>
      <c r="F11" s="103">
        <v>9976490</v>
      </c>
      <c r="G11" s="102">
        <v>0</v>
      </c>
      <c r="H11" s="102"/>
      <c r="I11" s="103"/>
      <c r="J11" s="102">
        <v>7.2499999999999995E-2</v>
      </c>
      <c r="K11" s="103">
        <f t="shared" si="1"/>
        <v>7213.75</v>
      </c>
      <c r="L11" s="102">
        <v>4</v>
      </c>
      <c r="M11" s="104">
        <f>F11-F10</f>
        <v>241873</v>
      </c>
      <c r="N11" s="102">
        <v>50</v>
      </c>
      <c r="O11" s="102">
        <v>50</v>
      </c>
      <c r="P11" s="104">
        <f>M11*N11/C10</f>
        <v>120936.5</v>
      </c>
      <c r="Q11" s="104">
        <f>M11*O11/C10</f>
        <v>120936.5</v>
      </c>
      <c r="R11" s="102"/>
      <c r="S11" s="103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102" t="s">
        <v>958</v>
      </c>
      <c r="B12" s="102" t="s">
        <v>1040</v>
      </c>
      <c r="C12" s="102">
        <v>200</v>
      </c>
      <c r="D12" s="102" t="s">
        <v>61</v>
      </c>
      <c r="E12" s="103">
        <v>70000</v>
      </c>
      <c r="F12" s="103">
        <v>14010149</v>
      </c>
      <c r="G12" s="102">
        <v>0</v>
      </c>
      <c r="H12" s="102">
        <v>0</v>
      </c>
      <c r="I12" s="103">
        <f t="shared" si="0"/>
        <v>0</v>
      </c>
      <c r="J12" s="102">
        <v>7.2499999999999995E-2</v>
      </c>
      <c r="K12" s="103">
        <f t="shared" ref="K12:K35" si="10">C12*E12*J12/100</f>
        <v>10149.999999999998</v>
      </c>
      <c r="L12" s="102">
        <f>(E12*(1+J12/100)+I12/C12)/(1-J13/100)-(S12/C12)*(G12/365)*($AB$2/100)</f>
        <v>70101.573640889648</v>
      </c>
      <c r="M12" s="102"/>
      <c r="N12" s="102"/>
      <c r="O12" s="102"/>
      <c r="P12" s="102"/>
      <c r="Q12" s="102"/>
      <c r="R12" s="102"/>
      <c r="S12" s="103">
        <v>0</v>
      </c>
      <c r="U12" s="82"/>
      <c r="V12" s="82"/>
      <c r="W12" s="86">
        <f>SUM(W4:W10)</f>
        <v>20500000</v>
      </c>
      <c r="X12" s="82"/>
      <c r="Y12" s="85">
        <f>SUM(Y4:Y10)</f>
        <v>0</v>
      </c>
      <c r="Z12" s="86">
        <f>SUM(Z4:Z9)</f>
        <v>20500000</v>
      </c>
      <c r="AA12" s="82"/>
      <c r="AB12" s="86">
        <f>SUM(AB4:AB10)</f>
        <v>43561.643835616436</v>
      </c>
      <c r="AC12" s="86">
        <f>SUM(AC4:AC10)</f>
        <v>0</v>
      </c>
      <c r="AD12" s="86">
        <f>SUM(AD4:AD10)</f>
        <v>43561.643835616436</v>
      </c>
      <c r="AE12" s="86">
        <f>SUM(AE4:AE11)</f>
        <v>0</v>
      </c>
      <c r="AF12" s="86">
        <f>SUM(AF4:AF11)</f>
        <v>20543561.643835615</v>
      </c>
      <c r="AG12" s="86">
        <f>SUM(AG4:AG10)</f>
        <v>20543561.643835615</v>
      </c>
    </row>
    <row r="13" spans="1:33" x14ac:dyDescent="0.25">
      <c r="A13" s="102" t="s">
        <v>958</v>
      </c>
      <c r="B13" s="102" t="s">
        <v>1040</v>
      </c>
      <c r="C13" s="102">
        <v>200</v>
      </c>
      <c r="D13" s="102" t="s">
        <v>973</v>
      </c>
      <c r="E13" s="103">
        <v>70488</v>
      </c>
      <c r="F13" s="103">
        <v>14087559</v>
      </c>
      <c r="G13" s="102">
        <v>0</v>
      </c>
      <c r="H13" s="102">
        <v>0</v>
      </c>
      <c r="I13" s="103">
        <f t="shared" si="0"/>
        <v>0</v>
      </c>
      <c r="J13" s="102">
        <v>7.2499999999999995E-2</v>
      </c>
      <c r="K13" s="103">
        <f t="shared" si="10"/>
        <v>10220.759999999998</v>
      </c>
      <c r="L13" s="102">
        <v>5</v>
      </c>
      <c r="M13" s="104">
        <f>F13-F12</f>
        <v>77410</v>
      </c>
      <c r="N13" s="102">
        <v>100</v>
      </c>
      <c r="O13" s="102">
        <f>C12-N13</f>
        <v>100</v>
      </c>
      <c r="P13" s="104">
        <f>M13*N13/C12</f>
        <v>38705</v>
      </c>
      <c r="Q13" s="104">
        <f>M13*O13/C12</f>
        <v>38705</v>
      </c>
      <c r="R13" s="102"/>
      <c r="S13" s="103">
        <v>0</v>
      </c>
    </row>
    <row r="14" spans="1:33" x14ac:dyDescent="0.25">
      <c r="A14" s="102" t="s">
        <v>958</v>
      </c>
      <c r="B14" s="102" t="s">
        <v>988</v>
      </c>
      <c r="C14" s="102">
        <v>200</v>
      </c>
      <c r="D14" s="102" t="s">
        <v>61</v>
      </c>
      <c r="E14" s="103">
        <v>83000</v>
      </c>
      <c r="F14" s="103">
        <v>17464390</v>
      </c>
      <c r="G14" s="102">
        <v>0</v>
      </c>
      <c r="H14" s="102">
        <v>15</v>
      </c>
      <c r="I14" s="103">
        <f t="shared" si="0"/>
        <v>0</v>
      </c>
      <c r="J14" s="102">
        <v>7.2499999999999995E-2</v>
      </c>
      <c r="K14" s="103">
        <f t="shared" si="10"/>
        <v>12035</v>
      </c>
      <c r="L14" s="102">
        <f>(E14*(1+J14/100)+I14/C14)/(1-J15/100)-(S14/C14)*(G14/365)*($AB$2/100)</f>
        <v>83120.437317054864</v>
      </c>
      <c r="M14" s="102"/>
      <c r="N14" s="102"/>
      <c r="O14" s="102"/>
      <c r="P14" s="102"/>
      <c r="Q14" s="102"/>
      <c r="R14" s="102"/>
      <c r="S14" s="103">
        <f t="shared" ref="S14" si="11">C14*E14+K14-F14</f>
        <v>-852355</v>
      </c>
      <c r="Z14" t="s">
        <v>754</v>
      </c>
      <c r="AA14" t="s">
        <v>452</v>
      </c>
    </row>
    <row r="15" spans="1:33" x14ac:dyDescent="0.25">
      <c r="A15" s="102" t="s">
        <v>958</v>
      </c>
      <c r="B15" s="102" t="s">
        <v>988</v>
      </c>
      <c r="C15" s="102">
        <v>200</v>
      </c>
      <c r="D15" s="102" t="s">
        <v>973</v>
      </c>
      <c r="E15" s="103">
        <v>83399</v>
      </c>
      <c r="F15" s="103">
        <v>17520183</v>
      </c>
      <c r="G15" s="102">
        <v>0</v>
      </c>
      <c r="H15" s="102">
        <v>15</v>
      </c>
      <c r="I15" s="103">
        <f t="shared" si="0"/>
        <v>0</v>
      </c>
      <c r="J15" s="102">
        <v>7.2499999999999995E-2</v>
      </c>
      <c r="K15" s="103">
        <f t="shared" si="10"/>
        <v>12092.855</v>
      </c>
      <c r="L15" s="102">
        <v>6</v>
      </c>
      <c r="M15" s="104">
        <f>F15-F14</f>
        <v>55793</v>
      </c>
      <c r="N15" s="102">
        <v>100</v>
      </c>
      <c r="O15" s="102">
        <f>C14-N15</f>
        <v>100</v>
      </c>
      <c r="P15" s="104">
        <f>M15*N15/C14</f>
        <v>27896.5</v>
      </c>
      <c r="Q15" s="104">
        <f>M15*O15/C14</f>
        <v>27896.5</v>
      </c>
      <c r="R15" s="102"/>
      <c r="S15" s="103">
        <f t="shared" ref="S15" si="12">-C15*E15+K15+F15</f>
        <v>852475.85500000045</v>
      </c>
      <c r="Y15" t="s">
        <v>1058</v>
      </c>
      <c r="Z15" s="7">
        <f>Z12+Q70</f>
        <v>20565729.5</v>
      </c>
      <c r="AA15" s="7">
        <f>Y12+P70</f>
        <v>65729.5</v>
      </c>
    </row>
    <row r="16" spans="1:33" x14ac:dyDescent="0.25">
      <c r="A16" s="102" t="s">
        <v>958</v>
      </c>
      <c r="B16" s="102" t="s">
        <v>971</v>
      </c>
      <c r="C16" s="102">
        <v>100</v>
      </c>
      <c r="D16" s="102" t="s">
        <v>61</v>
      </c>
      <c r="E16" s="103">
        <v>97328</v>
      </c>
      <c r="F16" s="103">
        <v>9878211</v>
      </c>
      <c r="G16" s="102">
        <v>2</v>
      </c>
      <c r="H16" s="102">
        <v>21</v>
      </c>
      <c r="I16" s="103">
        <f>F16*G16*($AB$2-H16)/(36500)</f>
        <v>-541.27183561643835</v>
      </c>
      <c r="J16" s="102">
        <v>7.2499999999999995E-2</v>
      </c>
      <c r="K16" s="103">
        <f t="shared" ref="K16:K21" si="13">C16*E16*J16/100</f>
        <v>7056.28</v>
      </c>
      <c r="L16" s="102">
        <f>(E16*(1+J16/100)+I16/C16)/(1-J17/100)-(S16/C16)*(G16/365)*($AB$2/100)</f>
        <v>97465.327560978476</v>
      </c>
      <c r="M16" s="104"/>
      <c r="N16" s="102"/>
      <c r="O16" s="102"/>
      <c r="P16" s="104"/>
      <c r="Q16" s="104"/>
      <c r="R16" s="102"/>
      <c r="S16" s="103">
        <f t="shared" ref="S16" si="14">C16*E16+K16-F16</f>
        <v>-138354.72000000067</v>
      </c>
      <c r="Y16" t="s">
        <v>1059</v>
      </c>
      <c r="Z16" s="7">
        <f>Z15-AF12</f>
        <v>22167.856164384633</v>
      </c>
      <c r="AA16" s="7">
        <f>AA15-AE12</f>
        <v>65729.5</v>
      </c>
    </row>
    <row r="17" spans="1:30" x14ac:dyDescent="0.25">
      <c r="A17" s="102" t="s">
        <v>1062</v>
      </c>
      <c r="B17" s="102" t="s">
        <v>971</v>
      </c>
      <c r="C17" s="102">
        <v>100</v>
      </c>
      <c r="D17" s="102" t="s">
        <v>973</v>
      </c>
      <c r="E17" s="103">
        <v>99000</v>
      </c>
      <c r="F17" s="103">
        <v>10042365</v>
      </c>
      <c r="G17" s="102"/>
      <c r="H17" s="102"/>
      <c r="I17" s="103"/>
      <c r="J17" s="102">
        <v>7.2499999999999995E-2</v>
      </c>
      <c r="K17" s="103">
        <f t="shared" si="13"/>
        <v>7177.5</v>
      </c>
      <c r="L17" s="102">
        <v>7</v>
      </c>
      <c r="M17" s="104">
        <f>F17-F16</f>
        <v>164154</v>
      </c>
      <c r="N17" s="102">
        <v>50</v>
      </c>
      <c r="O17" s="102">
        <v>50</v>
      </c>
      <c r="P17" s="104">
        <f t="shared" ref="P17" si="15">M17*N17/C16</f>
        <v>82077</v>
      </c>
      <c r="Q17" s="104">
        <f t="shared" ref="Q17" si="16">M17*O17/C16</f>
        <v>82077</v>
      </c>
      <c r="R17" s="102"/>
      <c r="S17" s="103">
        <f t="shared" ref="S17" si="17">-C17*E17+K17+F17</f>
        <v>149542.5</v>
      </c>
    </row>
    <row r="18" spans="1:30" x14ac:dyDescent="0.25">
      <c r="A18" s="102" t="s">
        <v>958</v>
      </c>
      <c r="B18" s="102" t="s">
        <v>971</v>
      </c>
      <c r="C18" s="102">
        <v>100</v>
      </c>
      <c r="D18" s="102" t="s">
        <v>61</v>
      </c>
      <c r="E18" s="103">
        <v>97328</v>
      </c>
      <c r="F18" s="103">
        <v>9878211</v>
      </c>
      <c r="G18" s="102">
        <v>2</v>
      </c>
      <c r="H18" s="102">
        <v>21</v>
      </c>
      <c r="I18" s="103">
        <f>F18*G18*($AB$2-H18)/(36500)</f>
        <v>-541.27183561643835</v>
      </c>
      <c r="J18" s="102">
        <v>7.2499999999999995E-2</v>
      </c>
      <c r="K18" s="103">
        <f t="shared" si="13"/>
        <v>7056.28</v>
      </c>
      <c r="L18" s="102">
        <f>(E18*(1+J18/100)+I18/C18)/(1-J19/100)-(S18/C18)*(G18/365)*($AB$2/100)</f>
        <v>97465.327560978476</v>
      </c>
      <c r="M18" s="104"/>
      <c r="N18" s="102"/>
      <c r="O18" s="102"/>
      <c r="P18" s="104"/>
      <c r="Q18" s="104"/>
      <c r="R18" s="102"/>
      <c r="S18" s="103">
        <f t="shared" ref="S18" si="18">C18*E18+K18-F18</f>
        <v>-138354.72000000067</v>
      </c>
      <c r="Y18" t="s">
        <v>1089</v>
      </c>
      <c r="Z18">
        <v>8</v>
      </c>
    </row>
    <row r="19" spans="1:30" x14ac:dyDescent="0.25">
      <c r="A19" s="102" t="s">
        <v>1062</v>
      </c>
      <c r="B19" s="102" t="s">
        <v>971</v>
      </c>
      <c r="C19" s="102">
        <v>100</v>
      </c>
      <c r="D19" s="102" t="s">
        <v>973</v>
      </c>
      <c r="E19" s="103">
        <v>99998</v>
      </c>
      <c r="F19" s="103">
        <v>10142183</v>
      </c>
      <c r="G19" s="102"/>
      <c r="H19" s="102"/>
      <c r="I19" s="103"/>
      <c r="J19" s="102">
        <v>7.2499999999999995E-2</v>
      </c>
      <c r="K19" s="103">
        <f t="shared" si="13"/>
        <v>7249.8549999999996</v>
      </c>
      <c r="L19" s="102">
        <v>8</v>
      </c>
      <c r="M19" s="104">
        <f t="shared" ref="M19" si="19">F19-F18</f>
        <v>263972</v>
      </c>
      <c r="N19" s="102">
        <v>50</v>
      </c>
      <c r="O19" s="102">
        <v>50</v>
      </c>
      <c r="P19" s="104">
        <f t="shared" ref="P19" si="20">M19*N19/C18</f>
        <v>131986</v>
      </c>
      <c r="Q19" s="104">
        <f t="shared" ref="Q19" si="21">M19*O19/C18</f>
        <v>131986</v>
      </c>
      <c r="R19" s="102"/>
      <c r="S19" s="103">
        <f t="shared" ref="S19" si="22">-C19*E19+K19+F19</f>
        <v>149632.85500000045</v>
      </c>
      <c r="Y19" t="s">
        <v>1090</v>
      </c>
      <c r="Z19">
        <v>18</v>
      </c>
    </row>
    <row r="20" spans="1:30" x14ac:dyDescent="0.25">
      <c r="A20" s="102" t="s">
        <v>958</v>
      </c>
      <c r="B20" s="102" t="s">
        <v>971</v>
      </c>
      <c r="C20" s="102">
        <v>200</v>
      </c>
      <c r="D20" s="102" t="s">
        <v>61</v>
      </c>
      <c r="E20" s="103">
        <v>97328</v>
      </c>
      <c r="F20" s="103">
        <v>19756422</v>
      </c>
      <c r="G20" s="102">
        <v>2</v>
      </c>
      <c r="H20" s="102">
        <v>21</v>
      </c>
      <c r="I20" s="103">
        <f>F20*G20*($AB$2-H20)/(36500)</f>
        <v>-1082.5436712328767</v>
      </c>
      <c r="J20" s="102">
        <v>7.2499999999999995E-2</v>
      </c>
      <c r="K20" s="103">
        <f t="shared" si="13"/>
        <v>14112.56</v>
      </c>
      <c r="L20" s="102">
        <f>(E20*(1+J20/100)+I20/C20)/(1-J21/100)-(S20/C20)*(G20/365)*($AB$2/100)</f>
        <v>97465.327560978476</v>
      </c>
      <c r="M20" s="104"/>
      <c r="N20" s="102"/>
      <c r="O20" s="102"/>
      <c r="P20" s="104"/>
      <c r="Q20" s="104"/>
      <c r="R20" s="102"/>
      <c r="S20" s="103">
        <f t="shared" ref="S20" si="23">C20*E20+K20-F20</f>
        <v>-276709.44000000134</v>
      </c>
    </row>
    <row r="21" spans="1:30" x14ac:dyDescent="0.25">
      <c r="A21" s="102" t="s">
        <v>1062</v>
      </c>
      <c r="B21" s="102" t="s">
        <v>971</v>
      </c>
      <c r="C21" s="102">
        <v>200</v>
      </c>
      <c r="D21" s="102" t="s">
        <v>973</v>
      </c>
      <c r="E21" s="103">
        <v>99000</v>
      </c>
      <c r="F21" s="103">
        <v>20084731</v>
      </c>
      <c r="G21" s="102"/>
      <c r="H21" s="102"/>
      <c r="I21" s="103"/>
      <c r="J21" s="102">
        <v>7.2499999999999995E-2</v>
      </c>
      <c r="K21" s="103">
        <f t="shared" si="13"/>
        <v>14355</v>
      </c>
      <c r="L21" s="102">
        <v>9</v>
      </c>
      <c r="M21" s="104">
        <f t="shared" ref="M21" si="24">F21-F20</f>
        <v>328309</v>
      </c>
      <c r="N21" s="102">
        <v>100</v>
      </c>
      <c r="O21" s="102">
        <v>100</v>
      </c>
      <c r="P21" s="104">
        <f t="shared" ref="P21" si="25">M21*N21/C20</f>
        <v>164154.5</v>
      </c>
      <c r="Q21" s="104">
        <f t="shared" ref="Q21" si="26">M21*O21/C20</f>
        <v>164154.5</v>
      </c>
      <c r="R21" s="102"/>
      <c r="S21" s="103">
        <f t="shared" ref="S21" si="27">-C21*E21+K21+F21</f>
        <v>299086</v>
      </c>
    </row>
    <row r="22" spans="1:30" x14ac:dyDescent="0.25">
      <c r="A22" s="102" t="s">
        <v>958</v>
      </c>
      <c r="B22" s="102" t="s">
        <v>984</v>
      </c>
      <c r="C22" s="102">
        <v>100</v>
      </c>
      <c r="D22" s="102" t="s">
        <v>61</v>
      </c>
      <c r="E22" s="103">
        <v>97875</v>
      </c>
      <c r="F22" s="103">
        <v>10210616</v>
      </c>
      <c r="G22" s="102">
        <v>2</v>
      </c>
      <c r="H22" s="102">
        <v>21</v>
      </c>
      <c r="I22" s="103">
        <f>F22*G22*($AB$2-H22)/(36500)</f>
        <v>-559.48580821917813</v>
      </c>
      <c r="J22" s="102">
        <v>7.2499999999999995E-2</v>
      </c>
      <c r="K22" s="103">
        <f t="shared" ref="K22:K23" si="28">C22*E22*J22/100</f>
        <v>7095.9375</v>
      </c>
      <c r="L22" s="102">
        <f>(E22*(1+J22/100)+I22/C22)/(1-J23/100)-(S22/C22)*(G22/365)*($AB$2/100)</f>
        <v>98015.981922419291</v>
      </c>
      <c r="M22" s="104"/>
      <c r="N22" s="102"/>
      <c r="O22" s="102"/>
      <c r="P22" s="104"/>
      <c r="Q22" s="104"/>
      <c r="R22" s="102"/>
      <c r="S22" s="103">
        <f t="shared" ref="S22" si="29">C22*E22+K22-F22</f>
        <v>-416020.0625</v>
      </c>
      <c r="W22" s="11" t="s">
        <v>981</v>
      </c>
      <c r="X22" s="11" t="s">
        <v>182</v>
      </c>
    </row>
    <row r="23" spans="1:30" x14ac:dyDescent="0.25">
      <c r="A23" s="102" t="s">
        <v>1062</v>
      </c>
      <c r="B23" s="102" t="s">
        <v>984</v>
      </c>
      <c r="C23" s="102">
        <v>100</v>
      </c>
      <c r="D23" s="102" t="s">
        <v>973</v>
      </c>
      <c r="E23" s="103">
        <v>99999</v>
      </c>
      <c r="F23" s="103">
        <v>10420633</v>
      </c>
      <c r="G23" s="102"/>
      <c r="H23" s="102"/>
      <c r="I23" s="103"/>
      <c r="J23" s="102">
        <v>7.2499999999999995E-2</v>
      </c>
      <c r="K23" s="103">
        <f t="shared" si="28"/>
        <v>7249.9274999999998</v>
      </c>
      <c r="L23" s="102">
        <v>10</v>
      </c>
      <c r="M23" s="104">
        <f>F23-F22</f>
        <v>210017</v>
      </c>
      <c r="N23" s="102">
        <v>50</v>
      </c>
      <c r="O23" s="102">
        <v>50</v>
      </c>
      <c r="P23" s="104">
        <f>M23*N23/C22</f>
        <v>105008.5</v>
      </c>
      <c r="Q23" s="104">
        <f>M23*O23/C22</f>
        <v>105008.5</v>
      </c>
      <c r="R23" s="102"/>
      <c r="S23" s="103">
        <f t="shared" ref="S23" si="30">-C23*E23+K23+F23</f>
        <v>427982.92750000022</v>
      </c>
      <c r="W23" s="11" t="s">
        <v>982</v>
      </c>
      <c r="X23" s="3">
        <v>68504</v>
      </c>
      <c r="AD23" t="s">
        <v>25</v>
      </c>
    </row>
    <row r="24" spans="1:30" x14ac:dyDescent="0.25">
      <c r="A24" s="102" t="s">
        <v>958</v>
      </c>
      <c r="B24" s="102" t="s">
        <v>971</v>
      </c>
      <c r="C24" s="102">
        <v>300</v>
      </c>
      <c r="D24" s="102" t="s">
        <v>61</v>
      </c>
      <c r="E24" s="103">
        <v>97328</v>
      </c>
      <c r="F24" s="103">
        <v>29634633</v>
      </c>
      <c r="G24" s="102">
        <v>2</v>
      </c>
      <c r="H24" s="102">
        <v>21</v>
      </c>
      <c r="I24" s="103">
        <f>F24*G24*($AB$2-H24)/(36500)</f>
        <v>-1623.8155068493152</v>
      </c>
      <c r="J24" s="102">
        <v>7.2499999999999995E-2</v>
      </c>
      <c r="K24" s="103">
        <f t="shared" ref="K24:K25" si="31">C24*E24*J24/100</f>
        <v>21168.84</v>
      </c>
      <c r="L24" s="102">
        <f>(E24*(1+J24/100)+I24/C24)/(1-J25/100)-(S24/C24)*(G24/365)*($AB$2/100)</f>
        <v>97465.327560978476</v>
      </c>
      <c r="M24" s="104"/>
      <c r="N24" s="102"/>
      <c r="O24" s="102"/>
      <c r="P24" s="104"/>
      <c r="Q24" s="104"/>
      <c r="R24" s="102"/>
      <c r="S24" s="103">
        <f t="shared" ref="S24" si="32">C24*E24+K24-F24</f>
        <v>-415064.16000000015</v>
      </c>
      <c r="W24" s="11" t="s">
        <v>1179</v>
      </c>
      <c r="X24" s="3">
        <f>C57*E57*(1-0.000725)</f>
        <v>20569076.600000001</v>
      </c>
      <c r="AA24" s="7"/>
    </row>
    <row r="25" spans="1:30" x14ac:dyDescent="0.25">
      <c r="A25" s="102" t="s">
        <v>1062</v>
      </c>
      <c r="B25" s="102" t="s">
        <v>971</v>
      </c>
      <c r="C25" s="102">
        <v>300</v>
      </c>
      <c r="D25" s="102" t="s">
        <v>973</v>
      </c>
      <c r="E25" s="103">
        <v>99000</v>
      </c>
      <c r="F25" s="103">
        <v>30127096</v>
      </c>
      <c r="G25" s="102">
        <v>0</v>
      </c>
      <c r="H25" s="102"/>
      <c r="I25" s="103"/>
      <c r="J25" s="102">
        <v>7.2499999999999995E-2</v>
      </c>
      <c r="K25" s="103">
        <f t="shared" si="31"/>
        <v>21532.5</v>
      </c>
      <c r="L25" s="102">
        <v>11</v>
      </c>
      <c r="M25" s="104">
        <f>F25-F24</f>
        <v>492463</v>
      </c>
      <c r="N25" s="102">
        <v>150</v>
      </c>
      <c r="O25" s="102">
        <v>150</v>
      </c>
      <c r="P25" s="104">
        <f>M25*N25/C24</f>
        <v>246231.5</v>
      </c>
      <c r="Q25" s="104">
        <f>M25*O25/C24</f>
        <v>246231.5</v>
      </c>
      <c r="R25" s="102"/>
      <c r="S25" s="103">
        <f t="shared" ref="S25" si="33">-C25*E25+K25+F25</f>
        <v>448628.5</v>
      </c>
      <c r="W25" s="11"/>
      <c r="X25" s="3">
        <v>0</v>
      </c>
    </row>
    <row r="26" spans="1:30" x14ac:dyDescent="0.25">
      <c r="A26" s="102" t="s">
        <v>958</v>
      </c>
      <c r="B26" s="102" t="s">
        <v>984</v>
      </c>
      <c r="C26" s="102">
        <v>200</v>
      </c>
      <c r="D26" s="102" t="s">
        <v>61</v>
      </c>
      <c r="E26" s="103">
        <v>97875</v>
      </c>
      <c r="F26" s="103">
        <v>20421232</v>
      </c>
      <c r="G26" s="102">
        <v>2</v>
      </c>
      <c r="H26" s="102">
        <v>21</v>
      </c>
      <c r="I26" s="103">
        <f>F26*G26*($AB$2-H26)/(36500)</f>
        <v>-1118.9716164383563</v>
      </c>
      <c r="J26" s="102">
        <v>7.2499999999999995E-2</v>
      </c>
      <c r="K26" s="103">
        <f>C26*E26*J26/100</f>
        <v>14191.875</v>
      </c>
      <c r="L26" s="102">
        <f>(E26*(1+J26/100)+I26/C26)/(1-J27/100)-(S26/C26)*(G26/365)*($AB$2/100)</f>
        <v>98015.981922419291</v>
      </c>
      <c r="M26" s="104"/>
      <c r="N26" s="102"/>
      <c r="O26" s="102"/>
      <c r="P26" s="104"/>
      <c r="Q26" s="104"/>
      <c r="R26" s="102"/>
      <c r="S26" s="103">
        <f t="shared" ref="S26" si="34">C26*E26+K26-F26</f>
        <v>-832040.125</v>
      </c>
      <c r="W26" s="11"/>
      <c r="X26" s="3">
        <v>0</v>
      </c>
    </row>
    <row r="27" spans="1:30" x14ac:dyDescent="0.25">
      <c r="A27" s="102" t="s">
        <v>1062</v>
      </c>
      <c r="B27" s="102" t="s">
        <v>984</v>
      </c>
      <c r="C27" s="102">
        <v>200</v>
      </c>
      <c r="D27" s="102" t="s">
        <v>973</v>
      </c>
      <c r="E27" s="103">
        <v>99999</v>
      </c>
      <c r="F27" s="103">
        <v>20841265</v>
      </c>
      <c r="G27" s="102"/>
      <c r="H27" s="102"/>
      <c r="I27" s="103"/>
      <c r="J27" s="102">
        <v>7.2499999999999995E-2</v>
      </c>
      <c r="K27" s="103">
        <f>C27*E27*J27/100</f>
        <v>14499.855</v>
      </c>
      <c r="L27" s="102">
        <v>12</v>
      </c>
      <c r="M27" s="104">
        <f>F27-F26</f>
        <v>420033</v>
      </c>
      <c r="N27" s="102">
        <v>100</v>
      </c>
      <c r="O27" s="102">
        <v>100</v>
      </c>
      <c r="P27" s="104">
        <f>M27*N27/C26</f>
        <v>210016.5</v>
      </c>
      <c r="Q27" s="104">
        <f>M27*O27/C26</f>
        <v>210016.5</v>
      </c>
      <c r="R27" s="102"/>
      <c r="S27" s="103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102" t="s">
        <v>958</v>
      </c>
      <c r="B28" s="102" t="s">
        <v>984</v>
      </c>
      <c r="C28" s="102">
        <v>100</v>
      </c>
      <c r="D28" s="102" t="s">
        <v>61</v>
      </c>
      <c r="E28" s="103">
        <v>97875</v>
      </c>
      <c r="F28" s="103">
        <v>10210616</v>
      </c>
      <c r="G28" s="102">
        <v>8</v>
      </c>
      <c r="H28" s="102">
        <v>21</v>
      </c>
      <c r="I28" s="103">
        <f>F28*G28*($AB$2-H28)/(36500)</f>
        <v>-2237.9432328767125</v>
      </c>
      <c r="J28" s="102">
        <v>7.2499999999999995E-2</v>
      </c>
      <c r="K28" s="103">
        <f>C28*E28*J28/100</f>
        <v>7095.9375</v>
      </c>
      <c r="L28" s="102">
        <f>(E28*(1+J28/100)+I28/C28)/(1-J29/100)-(S28/C28)*(G28/365)*($AB$2/100)</f>
        <v>98012.862542445393</v>
      </c>
      <c r="M28" s="102"/>
      <c r="N28" s="102"/>
      <c r="O28" s="102"/>
      <c r="P28" s="102"/>
      <c r="Q28" s="102"/>
      <c r="R28" s="103"/>
      <c r="S28" s="103">
        <f t="shared" ref="S28" si="36">C28*E28+K28-F28</f>
        <v>-416020.0625</v>
      </c>
      <c r="W28" s="11"/>
      <c r="X28" s="3">
        <v>0</v>
      </c>
    </row>
    <row r="29" spans="1:30" x14ac:dyDescent="0.25">
      <c r="A29" s="102" t="s">
        <v>1099</v>
      </c>
      <c r="B29" s="102" t="s">
        <v>984</v>
      </c>
      <c r="C29" s="102">
        <v>100</v>
      </c>
      <c r="D29" s="102" t="s">
        <v>973</v>
      </c>
      <c r="E29" s="103">
        <v>99999</v>
      </c>
      <c r="F29" s="103">
        <v>10456533</v>
      </c>
      <c r="G29" s="102"/>
      <c r="H29" s="102"/>
      <c r="I29" s="103">
        <f>F29*G29*($AB$2-H29)/(36500)</f>
        <v>0</v>
      </c>
      <c r="J29" s="102">
        <v>7.2499999999999995E-2</v>
      </c>
      <c r="K29" s="103">
        <f t="shared" ref="K29" si="37">C29*E29*J29/100</f>
        <v>7249.9274999999998</v>
      </c>
      <c r="L29" s="102">
        <v>13</v>
      </c>
      <c r="M29" s="103">
        <f>F29-F28</f>
        <v>245917</v>
      </c>
      <c r="N29" s="102">
        <v>50</v>
      </c>
      <c r="O29" s="102">
        <v>50</v>
      </c>
      <c r="P29" s="103">
        <f t="shared" ref="P29" si="38">M29*N29/C28</f>
        <v>122958.5</v>
      </c>
      <c r="Q29" s="103">
        <f t="shared" ref="Q29" si="39">M29*O29/C28</f>
        <v>122958.5</v>
      </c>
      <c r="R29" s="102"/>
      <c r="S29" s="103">
        <f t="shared" ref="S29" si="40">-C29*E29+K29+F29</f>
        <v>463882.92750000022</v>
      </c>
      <c r="W29" s="11"/>
      <c r="X29" s="3"/>
      <c r="Z29" s="7"/>
    </row>
    <row r="30" spans="1:30" x14ac:dyDescent="0.25">
      <c r="A30" s="102" t="s">
        <v>1051</v>
      </c>
      <c r="B30" s="102" t="s">
        <v>1040</v>
      </c>
      <c r="C30" s="102">
        <v>143</v>
      </c>
      <c r="D30" s="102" t="s">
        <v>61</v>
      </c>
      <c r="E30" s="103">
        <v>70003</v>
      </c>
      <c r="F30" s="103">
        <v>10017729</v>
      </c>
      <c r="G30" s="102">
        <v>0</v>
      </c>
      <c r="H30" s="102">
        <v>0</v>
      </c>
      <c r="I30" s="103">
        <f t="shared" si="0"/>
        <v>0</v>
      </c>
      <c r="J30" s="102">
        <v>7.2499999999999995E-2</v>
      </c>
      <c r="K30" s="103">
        <f t="shared" si="10"/>
        <v>7257.5610249999991</v>
      </c>
      <c r="L30" s="102">
        <f>(E30*(1+J30/100)+I30/C30)/(1-J31/100)-(S30/C30)*(G30/365)*($AB$2/100)</f>
        <v>70104.577994045685</v>
      </c>
      <c r="M30" s="104"/>
      <c r="N30" s="102"/>
      <c r="O30" s="102"/>
      <c r="P30" s="104"/>
      <c r="Q30" s="104"/>
      <c r="R30" s="102"/>
      <c r="S30" s="103">
        <v>0</v>
      </c>
      <c r="W30" s="11"/>
      <c r="X30" s="3"/>
      <c r="Z30" s="7"/>
    </row>
    <row r="31" spans="1:30" x14ac:dyDescent="0.25">
      <c r="A31" s="102" t="s">
        <v>1051</v>
      </c>
      <c r="B31" s="102" t="s">
        <v>1040</v>
      </c>
      <c r="C31" s="102">
        <v>143</v>
      </c>
      <c r="D31" s="102" t="s">
        <v>973</v>
      </c>
      <c r="E31" s="103">
        <v>70500</v>
      </c>
      <c r="F31" s="103">
        <v>10074191</v>
      </c>
      <c r="G31" s="102">
        <v>0</v>
      </c>
      <c r="H31" s="102">
        <v>0</v>
      </c>
      <c r="I31" s="103">
        <f t="shared" si="0"/>
        <v>0</v>
      </c>
      <c r="J31" s="102">
        <v>7.2499999999999995E-2</v>
      </c>
      <c r="K31" s="103">
        <f t="shared" si="10"/>
        <v>7309.0874999999996</v>
      </c>
      <c r="L31" s="102">
        <v>14</v>
      </c>
      <c r="M31" s="104">
        <f>F31-F30</f>
        <v>56462</v>
      </c>
      <c r="N31" s="102">
        <v>71.5</v>
      </c>
      <c r="O31" s="102">
        <f>C30-N31</f>
        <v>71.5</v>
      </c>
      <c r="P31" s="104">
        <f>M31*N31/C30</f>
        <v>28231</v>
      </c>
      <c r="Q31" s="104">
        <f>M31*O31/C30</f>
        <v>28231</v>
      </c>
      <c r="R31" s="102"/>
      <c r="S31" s="103">
        <v>0</v>
      </c>
      <c r="W31" s="11"/>
      <c r="X31" s="3"/>
    </row>
    <row r="32" spans="1:30" x14ac:dyDescent="0.25">
      <c r="A32" s="102" t="s">
        <v>1051</v>
      </c>
      <c r="B32" s="102" t="s">
        <v>962</v>
      </c>
      <c r="C32" s="102">
        <v>500</v>
      </c>
      <c r="D32" s="102" t="s">
        <v>61</v>
      </c>
      <c r="E32" s="103">
        <v>80620</v>
      </c>
      <c r="F32" s="103">
        <v>40339223</v>
      </c>
      <c r="G32" s="102">
        <v>0</v>
      </c>
      <c r="H32" s="102">
        <v>0</v>
      </c>
      <c r="I32" s="103">
        <f t="shared" si="0"/>
        <v>0</v>
      </c>
      <c r="J32" s="102">
        <v>7.2499999999999995E-2</v>
      </c>
      <c r="K32" s="103">
        <f t="shared" si="10"/>
        <v>29224.75</v>
      </c>
      <c r="L32" s="102">
        <f>(E32*(1+J32/100)+I32/C32)/(1-J33/100)-(S32/C32)*(G32/365)*($AB$2/100)</f>
        <v>80736.983813264611</v>
      </c>
      <c r="M32" s="104"/>
      <c r="N32" s="102"/>
      <c r="O32" s="102"/>
      <c r="P32" s="104"/>
      <c r="Q32" s="104"/>
      <c r="R32" s="102"/>
      <c r="S32" s="103">
        <v>0</v>
      </c>
      <c r="W32" s="11" t="s">
        <v>6</v>
      </c>
      <c r="X32" s="3">
        <f>SUM(X23:X31)</f>
        <v>20637580.600000001</v>
      </c>
    </row>
    <row r="33" spans="1:24" x14ac:dyDescent="0.25">
      <c r="A33" s="102" t="s">
        <v>1051</v>
      </c>
      <c r="B33" s="102" t="s">
        <v>962</v>
      </c>
      <c r="C33" s="102">
        <v>500</v>
      </c>
      <c r="D33" s="102" t="s">
        <v>973</v>
      </c>
      <c r="E33" s="103">
        <v>80980</v>
      </c>
      <c r="F33" s="103">
        <v>40460644</v>
      </c>
      <c r="G33" s="102">
        <v>0</v>
      </c>
      <c r="H33" s="102">
        <v>0</v>
      </c>
      <c r="I33" s="103"/>
      <c r="J33" s="102">
        <v>7.2499999999999995E-2</v>
      </c>
      <c r="K33" s="103">
        <f t="shared" si="10"/>
        <v>29355.25</v>
      </c>
      <c r="L33" s="102">
        <v>15</v>
      </c>
      <c r="M33" s="104">
        <f>F33-F32</f>
        <v>121421</v>
      </c>
      <c r="N33" s="102">
        <v>250</v>
      </c>
      <c r="O33" s="102">
        <v>250</v>
      </c>
      <c r="P33" s="104">
        <f>M33*N33/C32</f>
        <v>60710.5</v>
      </c>
      <c r="Q33" s="104">
        <f>M33*O33/C32</f>
        <v>60710.5</v>
      </c>
      <c r="R33" s="102"/>
      <c r="S33" s="103">
        <v>0</v>
      </c>
      <c r="W33" s="11"/>
      <c r="X33" s="3"/>
    </row>
    <row r="34" spans="1:24" x14ac:dyDescent="0.25">
      <c r="A34" s="102" t="s">
        <v>1051</v>
      </c>
      <c r="B34" s="102" t="s">
        <v>1040</v>
      </c>
      <c r="C34" s="102">
        <v>140</v>
      </c>
      <c r="D34" s="102" t="s">
        <v>1053</v>
      </c>
      <c r="E34" s="103">
        <v>70502</v>
      </c>
      <c r="F34" s="103">
        <v>9877463</v>
      </c>
      <c r="G34" s="102">
        <v>0</v>
      </c>
      <c r="H34" s="102">
        <v>0</v>
      </c>
      <c r="I34" s="103"/>
      <c r="J34" s="102">
        <v>7.2499999999999995E-2</v>
      </c>
      <c r="K34" s="103">
        <f t="shared" si="10"/>
        <v>7155.9529999999995</v>
      </c>
      <c r="L34" s="102">
        <f>(E34*(1+J34/100)+I34/C34)/(1-J35/100)-(S34/C34)*(G34/365)*($AB$2/100)</f>
        <v>70604.302069000027</v>
      </c>
      <c r="M34" s="104"/>
      <c r="N34" s="102"/>
      <c r="O34" s="102"/>
      <c r="P34" s="104"/>
      <c r="Q34" s="104"/>
      <c r="R34" s="102"/>
      <c r="S34" s="103">
        <v>0</v>
      </c>
      <c r="W34" s="11" t="s">
        <v>977</v>
      </c>
      <c r="X34" s="3">
        <f>X32-AG12</f>
        <v>94018.956164386123</v>
      </c>
    </row>
    <row r="35" spans="1:24" x14ac:dyDescent="0.25">
      <c r="A35" s="102" t="s">
        <v>1051</v>
      </c>
      <c r="B35" s="102" t="s">
        <v>1040</v>
      </c>
      <c r="C35" s="102">
        <v>140</v>
      </c>
      <c r="D35" s="102" t="s">
        <v>973</v>
      </c>
      <c r="E35" s="103">
        <v>71186</v>
      </c>
      <c r="F35" s="103">
        <v>9958940</v>
      </c>
      <c r="G35" s="102">
        <v>0</v>
      </c>
      <c r="H35" s="102">
        <v>0</v>
      </c>
      <c r="I35" s="103"/>
      <c r="J35" s="102">
        <v>7.2499999999999995E-2</v>
      </c>
      <c r="K35" s="103">
        <f t="shared" si="10"/>
        <v>7225.378999999999</v>
      </c>
      <c r="L35" s="102">
        <v>16</v>
      </c>
      <c r="M35" s="104">
        <f>F35-F34</f>
        <v>81477</v>
      </c>
      <c r="N35" s="102">
        <v>70</v>
      </c>
      <c r="O35" s="102">
        <v>70</v>
      </c>
      <c r="P35" s="104">
        <f>M35*N35/C34</f>
        <v>40738.5</v>
      </c>
      <c r="Q35" s="104">
        <f>M35*O35/C34</f>
        <v>40738.5</v>
      </c>
      <c r="R35" s="102"/>
      <c r="S35" s="103">
        <v>0</v>
      </c>
    </row>
    <row r="36" spans="1:24" x14ac:dyDescent="0.25">
      <c r="A36" s="102" t="s">
        <v>1062</v>
      </c>
      <c r="B36" s="102" t="s">
        <v>978</v>
      </c>
      <c r="C36" s="102">
        <v>100</v>
      </c>
      <c r="D36" s="102" t="s">
        <v>61</v>
      </c>
      <c r="E36" s="103">
        <v>99000</v>
      </c>
      <c r="F36" s="103">
        <v>9940881</v>
      </c>
      <c r="G36" s="102">
        <v>0</v>
      </c>
      <c r="H36" s="102">
        <v>21</v>
      </c>
      <c r="I36" s="103">
        <f>F36*G36*($AB$2-H36)/(36500)</f>
        <v>0</v>
      </c>
      <c r="J36" s="102">
        <v>7.2499999999999995E-2</v>
      </c>
      <c r="K36" s="103">
        <f t="shared" ref="K36:K37" si="41">C36*E36*J36/100</f>
        <v>7177.5</v>
      </c>
      <c r="L36" s="102">
        <f>(E36*(1+J36/100)+I36/C36)/(1-J37/100)-(S36/C36)*(G36/365)*($AB$2/100)</f>
        <v>99143.654149258218</v>
      </c>
      <c r="M36" s="104"/>
      <c r="N36" s="102"/>
      <c r="O36" s="102"/>
      <c r="P36" s="104"/>
      <c r="Q36" s="104"/>
      <c r="R36" s="102"/>
      <c r="S36" s="103">
        <f t="shared" ref="S36" si="42">C36*E36+K36-F36</f>
        <v>-33703.5</v>
      </c>
    </row>
    <row r="37" spans="1:24" x14ac:dyDescent="0.25">
      <c r="A37" s="102" t="s">
        <v>1062</v>
      </c>
      <c r="B37" s="102" t="s">
        <v>978</v>
      </c>
      <c r="C37" s="102">
        <v>100</v>
      </c>
      <c r="D37" s="102" t="s">
        <v>973</v>
      </c>
      <c r="E37" s="103">
        <v>99200</v>
      </c>
      <c r="F37" s="103">
        <v>9946511</v>
      </c>
      <c r="G37" s="102"/>
      <c r="H37" s="102"/>
      <c r="I37" s="103"/>
      <c r="J37" s="102">
        <v>7.2499999999999995E-2</v>
      </c>
      <c r="K37" s="103">
        <f t="shared" si="41"/>
        <v>7192</v>
      </c>
      <c r="L37" s="102">
        <v>17</v>
      </c>
      <c r="M37" s="104">
        <f>F37-F36</f>
        <v>5630</v>
      </c>
      <c r="N37" s="102">
        <v>50</v>
      </c>
      <c r="O37" s="102">
        <v>50</v>
      </c>
      <c r="P37" s="104">
        <f>M37*N37/C36</f>
        <v>2815</v>
      </c>
      <c r="Q37" s="104">
        <f>M37*O37/C36</f>
        <v>2815</v>
      </c>
      <c r="R37" s="102"/>
      <c r="S37" s="103">
        <f>-C37*E37+K37+F37</f>
        <v>33703</v>
      </c>
    </row>
    <row r="38" spans="1:24" x14ac:dyDescent="0.25">
      <c r="A38" s="102" t="s">
        <v>1062</v>
      </c>
      <c r="B38" s="102" t="s">
        <v>985</v>
      </c>
      <c r="C38" s="102">
        <v>500</v>
      </c>
      <c r="D38" s="102" t="s">
        <v>61</v>
      </c>
      <c r="E38" s="103">
        <v>91000</v>
      </c>
      <c r="F38" s="103">
        <v>46785986</v>
      </c>
      <c r="G38" s="102">
        <v>0</v>
      </c>
      <c r="H38" s="102">
        <v>16</v>
      </c>
      <c r="I38" s="103">
        <f>F38*G38*($AB$2-H38)/(36500)</f>
        <v>0</v>
      </c>
      <c r="J38" s="102">
        <v>7.2499999999999995E-2</v>
      </c>
      <c r="K38" s="103">
        <f t="shared" ref="K38:K55" si="43">C38*E38*J38/100</f>
        <v>32987.5</v>
      </c>
      <c r="L38" s="102">
        <f>(E38*(1+J38/100)+I38/C38)/(1-J39/100)-(S38/C38)*(G38/365)*($AB$2/100)</f>
        <v>91132.045733156541</v>
      </c>
      <c r="M38" s="104"/>
      <c r="N38" s="102"/>
      <c r="O38" s="102"/>
      <c r="P38" s="104"/>
      <c r="Q38" s="104"/>
      <c r="R38" s="102"/>
      <c r="S38" s="103">
        <f t="shared" ref="S38" si="44">C38*E38+K38-F38</f>
        <v>-1252998.5</v>
      </c>
    </row>
    <row r="39" spans="1:24" x14ac:dyDescent="0.25">
      <c r="A39" s="102" t="s">
        <v>1062</v>
      </c>
      <c r="B39" s="102" t="s">
        <v>985</v>
      </c>
      <c r="C39" s="102">
        <v>500</v>
      </c>
      <c r="D39" s="102" t="s">
        <v>973</v>
      </c>
      <c r="E39" s="103">
        <v>92000</v>
      </c>
      <c r="F39" s="103">
        <v>47219599</v>
      </c>
      <c r="G39" s="102"/>
      <c r="H39" s="102"/>
      <c r="I39" s="103"/>
      <c r="J39" s="102">
        <v>7.2499999999999995E-2</v>
      </c>
      <c r="K39" s="103">
        <f t="shared" si="43"/>
        <v>33350</v>
      </c>
      <c r="L39" s="102">
        <v>18</v>
      </c>
      <c r="M39" s="104">
        <f>F39-F38</f>
        <v>433613</v>
      </c>
      <c r="N39" s="102">
        <v>250</v>
      </c>
      <c r="O39" s="102">
        <v>250</v>
      </c>
      <c r="P39" s="104">
        <f t="shared" ref="P39" si="45">M39*N39/C38</f>
        <v>216806.5</v>
      </c>
      <c r="Q39" s="104">
        <f t="shared" ref="Q39" si="46">M39*O39/C38</f>
        <v>216806.5</v>
      </c>
      <c r="R39" s="102"/>
      <c r="S39" s="103">
        <f t="shared" ref="S39" si="47">-C39*E39+K39+F39</f>
        <v>1252949</v>
      </c>
    </row>
    <row r="40" spans="1:24" x14ac:dyDescent="0.25">
      <c r="A40" s="102" t="s">
        <v>1062</v>
      </c>
      <c r="B40" s="102" t="s">
        <v>962</v>
      </c>
      <c r="C40" s="102">
        <v>8</v>
      </c>
      <c r="D40" s="103" t="s">
        <v>61</v>
      </c>
      <c r="E40" s="103">
        <v>82200</v>
      </c>
      <c r="F40" s="103">
        <v>658076</v>
      </c>
      <c r="G40" s="102">
        <v>6</v>
      </c>
      <c r="H40" s="102">
        <v>0</v>
      </c>
      <c r="I40" s="102">
        <f>F40*G40*($AB$2-H40)/(36500)</f>
        <v>2163.5375342465754</v>
      </c>
      <c r="J40" s="102">
        <v>7.2499999999999995E-2</v>
      </c>
      <c r="K40" s="102">
        <f>C40*E40*J40/100</f>
        <v>476.76</v>
      </c>
      <c r="L40" s="102">
        <f>(E40*(1+J40/100)+I40/C40)/(1-J41/100)-(S40/C40)*(G40/365)*($AB$2/100)</f>
        <v>82589.914880068871</v>
      </c>
      <c r="M40" s="102"/>
      <c r="N40" s="102"/>
      <c r="O40" s="102"/>
      <c r="P40" s="102"/>
      <c r="Q40" s="102"/>
      <c r="R40" s="103"/>
      <c r="S40" s="103">
        <v>0</v>
      </c>
    </row>
    <row r="41" spans="1:24" x14ac:dyDescent="0.25">
      <c r="A41" s="102" t="s">
        <v>1099</v>
      </c>
      <c r="B41" s="102" t="s">
        <v>962</v>
      </c>
      <c r="C41" s="102">
        <v>8</v>
      </c>
      <c r="D41" s="102" t="s">
        <v>973</v>
      </c>
      <c r="E41" s="103">
        <v>82630</v>
      </c>
      <c r="F41" s="103">
        <v>660560</v>
      </c>
      <c r="G41" s="102"/>
      <c r="H41" s="103"/>
      <c r="I41" s="102">
        <f>F41*G41*($AB$2-H41)/(36500)</f>
        <v>0</v>
      </c>
      <c r="J41" s="102">
        <v>7.2499999999999995E-2</v>
      </c>
      <c r="K41" s="102">
        <f>C41*E41*J41/100</f>
        <v>479.25399999999996</v>
      </c>
      <c r="L41" s="102">
        <v>19</v>
      </c>
      <c r="M41" s="103">
        <f t="shared" ref="M41" si="48">F41-F40</f>
        <v>2484</v>
      </c>
      <c r="N41" s="102">
        <v>4</v>
      </c>
      <c r="O41" s="103">
        <f>C40-N41</f>
        <v>4</v>
      </c>
      <c r="P41" s="103">
        <f>M41*N41/C40</f>
        <v>1242</v>
      </c>
      <c r="Q41" s="102">
        <f>M41*O41/C40</f>
        <v>1242</v>
      </c>
      <c r="R41" s="103"/>
      <c r="S41" s="103">
        <v>0</v>
      </c>
    </row>
    <row r="42" spans="1:24" x14ac:dyDescent="0.25">
      <c r="A42" s="102" t="s">
        <v>1062</v>
      </c>
      <c r="B42" s="102" t="s">
        <v>988</v>
      </c>
      <c r="C42" s="102">
        <v>1900</v>
      </c>
      <c r="D42" s="102" t="s">
        <v>61</v>
      </c>
      <c r="E42" s="103">
        <v>85537</v>
      </c>
      <c r="F42" s="103">
        <v>170893386</v>
      </c>
      <c r="G42" s="102">
        <v>8</v>
      </c>
      <c r="H42" s="102">
        <v>15</v>
      </c>
      <c r="I42" s="103">
        <f>F42*G42*($AB$2-H42)/(36500)</f>
        <v>187280.42301369863</v>
      </c>
      <c r="J42" s="102">
        <v>7.2499999999999995E-2</v>
      </c>
      <c r="K42" s="103">
        <f>C42*E42*J42/100</f>
        <v>117827.2175</v>
      </c>
      <c r="L42" s="102">
        <f>(E42*(1+J42/100)+I42/C42)/(1-J43/100)-(S42/C42)*(G42/365)*($AB$2/100)</f>
        <v>85778.80481263742</v>
      </c>
      <c r="M42" s="104"/>
      <c r="N42" s="102"/>
      <c r="O42" s="102"/>
      <c r="P42" s="104"/>
      <c r="Q42" s="104"/>
      <c r="R42" s="102"/>
      <c r="S42" s="103">
        <f>C42*E42+K42-F42</f>
        <v>-8255258.7824999988</v>
      </c>
    </row>
    <row r="43" spans="1:24" x14ac:dyDescent="0.25">
      <c r="A43" s="102" t="s">
        <v>1100</v>
      </c>
      <c r="B43" s="102" t="s">
        <v>988</v>
      </c>
      <c r="C43" s="102">
        <v>1900</v>
      </c>
      <c r="D43" s="102" t="s">
        <v>973</v>
      </c>
      <c r="E43" s="103">
        <v>85899</v>
      </c>
      <c r="F43" s="103">
        <v>171903709</v>
      </c>
      <c r="G43" s="102"/>
      <c r="H43" s="102"/>
      <c r="I43" s="103"/>
      <c r="J43" s="102">
        <v>7.2499999999999995E-2</v>
      </c>
      <c r="K43" s="103">
        <f>C43*E43*J43/100</f>
        <v>118325.8725</v>
      </c>
      <c r="L43" s="102">
        <v>20</v>
      </c>
      <c r="M43" s="104">
        <f>F43-F42</f>
        <v>1010323</v>
      </c>
      <c r="N43" s="102">
        <v>950</v>
      </c>
      <c r="O43" s="102">
        <v>950</v>
      </c>
      <c r="P43" s="104">
        <f t="shared" ref="P43" si="49">M43*N43/C42</f>
        <v>505161.5</v>
      </c>
      <c r="Q43" s="104">
        <f t="shared" ref="Q43" si="50">M43*O43/C42</f>
        <v>505161.5</v>
      </c>
      <c r="R43" s="102"/>
      <c r="S43" s="103">
        <f t="shared" ref="S43" si="51">-C43*E43+K43+F43</f>
        <v>8813934.8725000024</v>
      </c>
    </row>
    <row r="44" spans="1:24" x14ac:dyDescent="0.25">
      <c r="A44" s="76" t="s">
        <v>1163</v>
      </c>
      <c r="B44" s="76" t="s">
        <v>1176</v>
      </c>
      <c r="C44" s="76">
        <v>100</v>
      </c>
      <c r="D44" s="76" t="s">
        <v>61</v>
      </c>
      <c r="E44" s="77">
        <v>183000</v>
      </c>
      <c r="F44" s="77">
        <v>18000000</v>
      </c>
      <c r="G44" s="76">
        <v>0</v>
      </c>
      <c r="H44" s="76">
        <v>0</v>
      </c>
      <c r="I44" s="77"/>
      <c r="J44" s="79">
        <v>0.125</v>
      </c>
      <c r="K44" s="77">
        <f>C44*E44*J44/100</f>
        <v>22875</v>
      </c>
      <c r="L44" s="76"/>
      <c r="M44" s="78"/>
      <c r="N44" s="76"/>
      <c r="O44" s="76"/>
      <c r="P44" s="78"/>
      <c r="Q44" s="78"/>
      <c r="R44" s="76" t="s">
        <v>1178</v>
      </c>
      <c r="S44" s="77"/>
    </row>
    <row r="45" spans="1:24" x14ac:dyDescent="0.25">
      <c r="A45" s="76" t="s">
        <v>1163</v>
      </c>
      <c r="B45" s="76" t="s">
        <v>1177</v>
      </c>
      <c r="C45" s="76">
        <v>100</v>
      </c>
      <c r="D45" s="76" t="s">
        <v>973</v>
      </c>
      <c r="E45" s="77">
        <v>184000</v>
      </c>
      <c r="F45" s="77">
        <v>18068504</v>
      </c>
      <c r="G45" s="76"/>
      <c r="H45" s="76"/>
      <c r="I45" s="77"/>
      <c r="J45" s="79">
        <v>7.2499999999999995E-2</v>
      </c>
      <c r="K45" s="77"/>
      <c r="L45" s="76">
        <v>21</v>
      </c>
      <c r="M45" s="78">
        <f>F45-F44</f>
        <v>68504</v>
      </c>
      <c r="N45" s="76">
        <v>50</v>
      </c>
      <c r="O45" s="76">
        <v>50</v>
      </c>
      <c r="P45" s="78">
        <f t="shared" ref="P45" si="52">M45*N45/C44</f>
        <v>34252</v>
      </c>
      <c r="Q45" s="78">
        <f t="shared" ref="Q45" si="53">M45*O45/C44</f>
        <v>34252</v>
      </c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4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5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6">F53-F52</f>
        <v>0</v>
      </c>
      <c r="N53" s="76">
        <v>50</v>
      </c>
      <c r="O53" s="76">
        <v>50</v>
      </c>
      <c r="P53" s="78">
        <f t="shared" ref="P53" si="57">M53*N53/C52</f>
        <v>0</v>
      </c>
      <c r="Q53" s="78">
        <f t="shared" ref="Q53" si="58">M53*O53/C52</f>
        <v>0</v>
      </c>
      <c r="R53" s="76"/>
      <c r="S53" s="89">
        <f t="shared" ref="S53" si="59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60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61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2">F55-F54</f>
        <v>0</v>
      </c>
      <c r="N55" s="79">
        <v>50</v>
      </c>
      <c r="O55" s="79">
        <v>50</v>
      </c>
      <c r="P55" s="79">
        <f t="shared" ref="P55" si="63">M55*N55/C54</f>
        <v>0</v>
      </c>
      <c r="Q55" s="79">
        <f t="shared" ref="Q55" si="64">M55*O55/C54</f>
        <v>0</v>
      </c>
      <c r="R55" s="79"/>
      <c r="S55" s="80">
        <f t="shared" ref="S55" si="65">-C55*E55+K55+F55</f>
        <v>0</v>
      </c>
    </row>
    <row r="56" spans="1:20" x14ac:dyDescent="0.25">
      <c r="A56" s="16" t="s">
        <v>1163</v>
      </c>
      <c r="B56" s="76" t="s">
        <v>962</v>
      </c>
      <c r="C56" s="76">
        <v>248</v>
      </c>
      <c r="D56" s="76" t="s">
        <v>61</v>
      </c>
      <c r="E56" s="77">
        <v>82626</v>
      </c>
      <c r="F56" s="77">
        <v>20506045</v>
      </c>
      <c r="G56" s="76">
        <v>2</v>
      </c>
      <c r="H56" s="76">
        <v>0</v>
      </c>
      <c r="I56" s="77">
        <f>F56*G56*($AB$2-H56)/(36500)</f>
        <v>22472.378082191783</v>
      </c>
      <c r="J56" s="76">
        <v>7.2499999999999995E-2</v>
      </c>
      <c r="K56" s="77">
        <f>C56*E56*J56/100</f>
        <v>14856.1548</v>
      </c>
      <c r="L56" s="77">
        <f>(E56*(1+J56/100)+I56/C56)/(1-J57/100)-(S56/C56)*(G56/365)*($AB$2/100)</f>
        <v>82836.574533076855</v>
      </c>
      <c r="M56" s="76"/>
      <c r="N56" s="76"/>
      <c r="O56" s="76"/>
      <c r="P56" s="76"/>
      <c r="Q56" s="76"/>
      <c r="R56" s="76">
        <v>83000</v>
      </c>
      <c r="S56" s="77">
        <f>C56*E56+K56-F56</f>
        <v>59.154800001531839</v>
      </c>
      <c r="T56" t="s">
        <v>25</v>
      </c>
    </row>
    <row r="57" spans="1:20" x14ac:dyDescent="0.25">
      <c r="A57" s="16"/>
      <c r="B57" s="76"/>
      <c r="C57" s="76">
        <v>248</v>
      </c>
      <c r="D57" s="76"/>
      <c r="E57" s="76">
        <v>83000</v>
      </c>
      <c r="F57" s="77">
        <v>20569000</v>
      </c>
      <c r="G57" s="76"/>
      <c r="H57" s="76"/>
      <c r="I57" s="76"/>
      <c r="J57" s="76">
        <v>7.2499999999999995E-2</v>
      </c>
      <c r="K57" s="77">
        <f>C57*E57*J57/100</f>
        <v>14923.4</v>
      </c>
      <c r="L57" s="76">
        <v>22</v>
      </c>
      <c r="M57" s="78">
        <f>F57-F56</f>
        <v>62955</v>
      </c>
      <c r="N57" s="76">
        <v>124</v>
      </c>
      <c r="O57" s="76">
        <v>124</v>
      </c>
      <c r="P57" s="78">
        <f t="shared" ref="P57" si="66">M57*N57/C56</f>
        <v>31477.5</v>
      </c>
      <c r="Q57" s="78">
        <f t="shared" ref="Q57" si="67">M57*O57/C56</f>
        <v>31477.5</v>
      </c>
      <c r="R57" s="76"/>
      <c r="S57" s="77">
        <f>-C57*E57+K57+F57</f>
        <v>-76.600000001490116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8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9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70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71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72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3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4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5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6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131459</v>
      </c>
      <c r="N70" s="11"/>
      <c r="O70" s="11"/>
      <c r="P70" s="3">
        <f>SUM(P44:P69)</f>
        <v>65729.5</v>
      </c>
      <c r="Q70" s="3">
        <f>SUM(Q44:Q69)</f>
        <v>65729.5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1049</v>
      </c>
      <c r="Q71" s="11" t="s">
        <v>1050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1157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77">C83*D83</f>
        <v>35200000</v>
      </c>
      <c r="G83">
        <f t="shared" ref="G83:G90" si="78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973</v>
      </c>
      <c r="F84">
        <f t="shared" si="77"/>
        <v>176999900</v>
      </c>
      <c r="G84">
        <f t="shared" si="78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77"/>
        <v>35580000</v>
      </c>
      <c r="G85">
        <f t="shared" si="78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77"/>
        <v>142400000</v>
      </c>
      <c r="G86">
        <f t="shared" si="78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973</v>
      </c>
      <c r="F87">
        <f t="shared" si="77"/>
        <v>53220030</v>
      </c>
      <c r="G87">
        <f t="shared" si="78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973</v>
      </c>
      <c r="F88">
        <f t="shared" si="77"/>
        <v>17740000</v>
      </c>
      <c r="G88">
        <f t="shared" si="78"/>
        <v>22175</v>
      </c>
      <c r="H88">
        <f t="shared" ref="H88:H89" si="79">F88-G88</f>
        <v>17717825</v>
      </c>
      <c r="I88" s="25"/>
    </row>
    <row r="89" spans="3:14" x14ac:dyDescent="0.25">
      <c r="C89">
        <v>40</v>
      </c>
      <c r="D89">
        <v>1771000</v>
      </c>
      <c r="E89" t="s">
        <v>973</v>
      </c>
      <c r="F89">
        <f t="shared" si="77"/>
        <v>70840000</v>
      </c>
      <c r="G89">
        <f t="shared" si="78"/>
        <v>88550</v>
      </c>
      <c r="H89">
        <f t="shared" si="79"/>
        <v>70751450</v>
      </c>
      <c r="I89" s="28"/>
    </row>
    <row r="90" spans="3:14" x14ac:dyDescent="0.25">
      <c r="C90">
        <v>20</v>
      </c>
      <c r="D90">
        <v>1790000</v>
      </c>
      <c r="E90" t="s">
        <v>973</v>
      </c>
      <c r="F90">
        <f t="shared" si="77"/>
        <v>35800000</v>
      </c>
      <c r="G90">
        <f t="shared" si="78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1085</v>
      </c>
      <c r="M1" s="11" t="s">
        <v>996</v>
      </c>
      <c r="N1" s="11" t="s">
        <v>1075</v>
      </c>
      <c r="O1" s="11" t="s">
        <v>998</v>
      </c>
      <c r="P1" s="11" t="s">
        <v>1081</v>
      </c>
      <c r="Q1" s="11" t="s">
        <v>999</v>
      </c>
      <c r="R1" s="11" t="s">
        <v>1033</v>
      </c>
      <c r="S1" s="11" t="s">
        <v>1010</v>
      </c>
      <c r="T1" s="11" t="s">
        <v>965</v>
      </c>
      <c r="U1" s="69" t="s">
        <v>1080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979</v>
      </c>
      <c r="AD1" t="s">
        <v>1038</v>
      </c>
      <c r="AE1" t="s">
        <v>1039</v>
      </c>
      <c r="AI1">
        <v>0.51500000000000001</v>
      </c>
      <c r="AJ1" t="s">
        <v>1066</v>
      </c>
      <c r="AL1" t="s">
        <v>1076</v>
      </c>
      <c r="AM1" t="s">
        <v>1077</v>
      </c>
    </row>
    <row r="2" spans="1:39" x14ac:dyDescent="0.25">
      <c r="A2" s="90" t="s">
        <v>989</v>
      </c>
      <c r="B2" s="91">
        <f>$S2/(1+($AC$2-$O2+$P2)/36500)^$N2</f>
        <v>93646.18347625625</v>
      </c>
      <c r="C2" s="91">
        <f>$S2/(1+($AC$3-$O2+$P2)/36500)^$N2</f>
        <v>93761.128309876818</v>
      </c>
      <c r="D2" s="91">
        <f>$S2/(1+($AC$4-$O2+$P2)/36500)^$N2</f>
        <v>93905.009550833041</v>
      </c>
      <c r="E2" s="91">
        <f>$S2/(1+($AC$5-$O2+$P2)/36500)^$N2</f>
        <v>94049.113559320584</v>
      </c>
      <c r="F2" s="91">
        <f>$S2/(1+($AC$6-$O2+$P2)/36500)^$N2</f>
        <v>94193.440683304812</v>
      </c>
      <c r="G2" s="91">
        <f>$S2/(1+($AC$7-$O2+$P2)/36500)^$N2</f>
        <v>94337.991271292543</v>
      </c>
      <c r="H2" s="91">
        <f>$S2/(1+($AC$8-$O2+$P2)/36500)^$N2</f>
        <v>94482.765672346635</v>
      </c>
      <c r="I2" s="91">
        <f>$S2/(1+($AC$9-$O2+$P2)/36500)^$N2</f>
        <v>94627.764236074567</v>
      </c>
      <c r="J2" s="91">
        <f>$S2/(1+($AC$10-$O2+$P2)/36500)^$N2</f>
        <v>94772.987312636978</v>
      </c>
      <c r="K2" s="91">
        <f>$S2/(1+($AC$11-$O2+$P2)/36500)^$N2</f>
        <v>94918.435252750394</v>
      </c>
      <c r="L2" s="91">
        <f>$S2/(1+($AC$5-$O2+$P2)/36500)^$N2</f>
        <v>94049.113559320584</v>
      </c>
      <c r="M2" s="90" t="s">
        <v>1019</v>
      </c>
      <c r="N2" s="90">
        <f>132-$AD$19</f>
        <v>112</v>
      </c>
      <c r="O2" s="90">
        <v>0</v>
      </c>
      <c r="P2" s="90">
        <v>0</v>
      </c>
      <c r="Q2" s="90">
        <v>0</v>
      </c>
      <c r="R2" s="90">
        <f t="shared" ref="R2:R29" si="0">N2/30.5</f>
        <v>3.6721311475409837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1067</v>
      </c>
    </row>
    <row r="3" spans="1:39" x14ac:dyDescent="0.25">
      <c r="A3" s="92" t="s">
        <v>990</v>
      </c>
      <c r="B3" s="93">
        <f t="shared" ref="B3:B29" si="2">$S3/(1+($AC$2-$O3+$P3)/36500)^$N3</f>
        <v>91744.646854305334</v>
      </c>
      <c r="C3" s="93">
        <f t="shared" ref="C3:C29" si="3">$S3/(1+($AC$3-$O3+$P3)/36500)^$N3</f>
        <v>91892.476889239435</v>
      </c>
      <c r="D3" s="93">
        <f t="shared" ref="D3:D29" si="4">$S3/(1+($AC$4-$O3+$P3)/36500)^$N3</f>
        <v>92077.601732170908</v>
      </c>
      <c r="E3" s="93">
        <f t="shared" ref="E3:E29" si="5">$S3/(1+($AC$5-$O3+$P3)/36500)^$N3</f>
        <v>92263.102066314517</v>
      </c>
      <c r="F3" s="93">
        <f t="shared" ref="F3:F29" si="6">$S3/(1+($AC$6-$O3+$P3)/36500)^$N3</f>
        <v>92448.978658444918</v>
      </c>
      <c r="G3" s="93">
        <f t="shared" ref="G3:G29" si="7">$S3/(1+($AC$7-$O3+$P3)/36500)^$N3</f>
        <v>92635.232276904178</v>
      </c>
      <c r="H3" s="93">
        <f t="shared" ref="H3:H29" si="8">$S3/(1+($AC$8-$O3+$P3)/36500)^$N3</f>
        <v>92821.863691622886</v>
      </c>
      <c r="I3" s="93">
        <f t="shared" ref="I3:I29" si="9">$S3/(1+($AC$9-$O3+$P3)/36500)^$N3</f>
        <v>93008.873674107395</v>
      </c>
      <c r="J3" s="93">
        <f t="shared" ref="J3:J29" si="10">$S3/(1+($AC$10-$O3+$P3)/36500)^$N3</f>
        <v>93196.262997453203</v>
      </c>
      <c r="K3" s="93">
        <f t="shared" ref="K3:K29" si="11">$S3/(1+($AC$11-$O3+$P3)/36500)^$N3</f>
        <v>93384.032436350375</v>
      </c>
      <c r="L3" s="93">
        <f t="shared" ref="L3:L29" si="12">$S3/(1+($AC$5-$O3+$P3)/36500)^$N3</f>
        <v>92263.102066314517</v>
      </c>
      <c r="M3" s="92" t="s">
        <v>1020</v>
      </c>
      <c r="N3" s="92">
        <f>167-$AD$19</f>
        <v>147</v>
      </c>
      <c r="O3" s="92">
        <v>0</v>
      </c>
      <c r="P3" s="92">
        <v>0</v>
      </c>
      <c r="Q3" s="92">
        <v>0</v>
      </c>
      <c r="R3" s="92">
        <f t="shared" si="0"/>
        <v>4.8196721311475406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991</v>
      </c>
      <c r="B4" s="95">
        <f t="shared" si="2"/>
        <v>90198.37244075739</v>
      </c>
      <c r="C4" s="95">
        <f t="shared" si="3"/>
        <v>90372.410796611162</v>
      </c>
      <c r="D4" s="95">
        <f t="shared" si="4"/>
        <v>90590.433737190149</v>
      </c>
      <c r="E4" s="95">
        <f t="shared" si="5"/>
        <v>90808.985652670541</v>
      </c>
      <c r="F4" s="95">
        <f t="shared" si="6"/>
        <v>91028.067833743422</v>
      </c>
      <c r="G4" s="95">
        <f t="shared" si="7"/>
        <v>91247.681574256407</v>
      </c>
      <c r="H4" s="95">
        <f t="shared" si="8"/>
        <v>91467.828171242276</v>
      </c>
      <c r="I4" s="95">
        <f t="shared" si="9"/>
        <v>91688.508924908325</v>
      </c>
      <c r="J4" s="95">
        <f t="shared" si="10"/>
        <v>91909.725138655675</v>
      </c>
      <c r="K4" s="95">
        <f t="shared" si="11"/>
        <v>92131.47811909017</v>
      </c>
      <c r="L4" s="95">
        <f t="shared" si="12"/>
        <v>90808.985652670541</v>
      </c>
      <c r="M4" s="94" t="s">
        <v>1021</v>
      </c>
      <c r="N4" s="94">
        <f>196-$AD$19</f>
        <v>176</v>
      </c>
      <c r="O4" s="94">
        <v>0</v>
      </c>
      <c r="P4" s="94">
        <v>0</v>
      </c>
      <c r="Q4" s="94">
        <v>0</v>
      </c>
      <c r="R4" s="94">
        <f t="shared" si="0"/>
        <v>5.7704918032786887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992</v>
      </c>
      <c r="B5" s="91">
        <f t="shared" si="2"/>
        <v>71138.516300663425</v>
      </c>
      <c r="C5" s="91">
        <f t="shared" si="3"/>
        <v>71592.644448510342</v>
      </c>
      <c r="D5" s="91">
        <f t="shared" si="4"/>
        <v>72164.390627013679</v>
      </c>
      <c r="E5" s="91">
        <f t="shared" si="5"/>
        <v>72740.710750682993</v>
      </c>
      <c r="F5" s="91">
        <f t="shared" si="6"/>
        <v>73321.64147427406</v>
      </c>
      <c r="G5" s="91">
        <f t="shared" si="7"/>
        <v>73907.219746767063</v>
      </c>
      <c r="H5" s="91">
        <f t="shared" si="8"/>
        <v>74497.482813788316</v>
      </c>
      <c r="I5" s="91">
        <f t="shared" si="9"/>
        <v>75092.468219946008</v>
      </c>
      <c r="J5" s="91">
        <f t="shared" si="10"/>
        <v>75692.213811265683</v>
      </c>
      <c r="K5" s="91">
        <f t="shared" si="11"/>
        <v>76296.757737622087</v>
      </c>
      <c r="L5" s="91">
        <f t="shared" si="12"/>
        <v>72740.710750682993</v>
      </c>
      <c r="M5" s="90" t="s">
        <v>1022</v>
      </c>
      <c r="N5" s="90">
        <f>601-$AD$19</f>
        <v>581</v>
      </c>
      <c r="O5" s="90">
        <v>0</v>
      </c>
      <c r="P5" s="90">
        <v>0</v>
      </c>
      <c r="Q5" s="90">
        <v>0</v>
      </c>
      <c r="R5" s="90">
        <f t="shared" si="0"/>
        <v>19.049180327868854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973</v>
      </c>
      <c r="AC5">
        <v>20</v>
      </c>
    </row>
    <row r="6" spans="1:39" x14ac:dyDescent="0.25">
      <c r="A6" s="92" t="s">
        <v>993</v>
      </c>
      <c r="B6" s="93">
        <f t="shared" si="2"/>
        <v>86268.587183606593</v>
      </c>
      <c r="C6" s="93">
        <f t="shared" si="3"/>
        <v>86507.020891126478</v>
      </c>
      <c r="D6" s="93">
        <f t="shared" si="4"/>
        <v>86805.993641830297</v>
      </c>
      <c r="E6" s="93">
        <f t="shared" si="5"/>
        <v>87106.003772344979</v>
      </c>
      <c r="F6" s="93">
        <f t="shared" si="6"/>
        <v>87407.054896469053</v>
      </c>
      <c r="G6" s="93">
        <f t="shared" si="7"/>
        <v>87709.150640625521</v>
      </c>
      <c r="H6" s="93">
        <f t="shared" si="8"/>
        <v>88012.294643934656</v>
      </c>
      <c r="I6" s="93">
        <f t="shared" si="9"/>
        <v>88316.490558233025</v>
      </c>
      <c r="J6" s="93">
        <f t="shared" si="10"/>
        <v>88621.742048134241</v>
      </c>
      <c r="K6" s="93">
        <f t="shared" si="11"/>
        <v>88928.052791077629</v>
      </c>
      <c r="L6" s="93">
        <f t="shared" si="12"/>
        <v>87106.003772344979</v>
      </c>
      <c r="M6" s="92" t="s">
        <v>1023</v>
      </c>
      <c r="N6" s="92">
        <f>272-$AD$19</f>
        <v>252</v>
      </c>
      <c r="O6" s="92">
        <v>0</v>
      </c>
      <c r="P6" s="92">
        <v>0</v>
      </c>
      <c r="Q6" s="92">
        <v>0</v>
      </c>
      <c r="R6" s="92">
        <f t="shared" si="0"/>
        <v>8.2622950819672134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994</v>
      </c>
      <c r="B7" s="95">
        <f t="shared" si="2"/>
        <v>72315.648051911252</v>
      </c>
      <c r="C7" s="95">
        <f t="shared" si="3"/>
        <v>72754.975398891256</v>
      </c>
      <c r="D7" s="95">
        <f t="shared" si="4"/>
        <v>73307.896562682989</v>
      </c>
      <c r="E7" s="95">
        <f t="shared" si="5"/>
        <v>73865.0274572872</v>
      </c>
      <c r="F7" s="95">
        <f t="shared" si="6"/>
        <v>74426.400192296482</v>
      </c>
      <c r="G7" s="95">
        <f t="shared" si="7"/>
        <v>74992.047122636024</v>
      </c>
      <c r="H7" s="95">
        <f t="shared" si="8"/>
        <v>75562.000850495548</v>
      </c>
      <c r="I7" s="95">
        <f t="shared" si="9"/>
        <v>76136.294227173843</v>
      </c>
      <c r="J7" s="95">
        <f t="shared" si="10"/>
        <v>76714.960355016228</v>
      </c>
      <c r="K7" s="95">
        <f t="shared" si="11"/>
        <v>77298.032589343842</v>
      </c>
      <c r="L7" s="95">
        <f t="shared" si="12"/>
        <v>73865.0274572872</v>
      </c>
      <c r="M7" s="94" t="s">
        <v>1024</v>
      </c>
      <c r="N7" s="94">
        <f>573-$AD$19</f>
        <v>553</v>
      </c>
      <c r="O7" s="94">
        <v>0</v>
      </c>
      <c r="P7" s="94">
        <v>0</v>
      </c>
      <c r="Q7" s="94">
        <v>0</v>
      </c>
      <c r="R7" s="94">
        <f t="shared" si="0"/>
        <v>18.131147540983605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995</v>
      </c>
      <c r="B8" s="91">
        <f t="shared" si="2"/>
        <v>85563.579749961733</v>
      </c>
      <c r="C8" s="91">
        <f t="shared" si="3"/>
        <v>85813.222133330433</v>
      </c>
      <c r="D8" s="91">
        <f t="shared" si="4"/>
        <v>86126.303486180885</v>
      </c>
      <c r="E8" s="91">
        <f t="shared" si="5"/>
        <v>86440.53139635452</v>
      </c>
      <c r="F8" s="91">
        <f t="shared" si="6"/>
        <v>86755.910078530942</v>
      </c>
      <c r="G8" s="91">
        <f t="shared" si="7"/>
        <v>87072.443762925715</v>
      </c>
      <c r="H8" s="91">
        <f t="shared" si="8"/>
        <v>87390.136695377849</v>
      </c>
      <c r="I8" s="91">
        <f t="shared" si="9"/>
        <v>87708.993137380778</v>
      </c>
      <c r="J8" s="91">
        <f t="shared" si="10"/>
        <v>88029.017366157335</v>
      </c>
      <c r="K8" s="91">
        <f t="shared" si="11"/>
        <v>88350.213674721905</v>
      </c>
      <c r="L8" s="91">
        <f t="shared" si="12"/>
        <v>86440.53139635452</v>
      </c>
      <c r="M8" s="90" t="s">
        <v>1026</v>
      </c>
      <c r="N8" s="90">
        <f>286-$AD$19</f>
        <v>266</v>
      </c>
      <c r="O8" s="90">
        <v>0</v>
      </c>
      <c r="P8" s="90">
        <v>0</v>
      </c>
      <c r="Q8" s="90">
        <v>0</v>
      </c>
      <c r="R8" s="90">
        <f t="shared" si="0"/>
        <v>8.721311475409836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1011</v>
      </c>
      <c r="B9" s="93">
        <f t="shared" si="2"/>
        <v>76860.955171997048</v>
      </c>
      <c r="C9" s="93">
        <f t="shared" si="3"/>
        <v>77239.864565011841</v>
      </c>
      <c r="D9" s="93">
        <f t="shared" si="4"/>
        <v>77716.135073888829</v>
      </c>
      <c r="E9" s="93">
        <f t="shared" si="5"/>
        <v>78195.348906349813</v>
      </c>
      <c r="F9" s="93">
        <f t="shared" si="6"/>
        <v>78677.524292642993</v>
      </c>
      <c r="G9" s="93">
        <f t="shared" si="7"/>
        <v>79162.679576159193</v>
      </c>
      <c r="H9" s="93">
        <f t="shared" si="8"/>
        <v>79650.833214181883</v>
      </c>
      <c r="I9" s="93">
        <f t="shared" si="9"/>
        <v>80142.00377855447</v>
      </c>
      <c r="J9" s="93">
        <f t="shared" si="10"/>
        <v>80636.209956419087</v>
      </c>
      <c r="K9" s="93">
        <f t="shared" si="11"/>
        <v>81133.470550940023</v>
      </c>
      <c r="L9" s="93">
        <f t="shared" si="12"/>
        <v>78195.348906349813</v>
      </c>
      <c r="M9" s="92" t="s">
        <v>1025</v>
      </c>
      <c r="N9" s="92">
        <f>469-$AD$19</f>
        <v>449</v>
      </c>
      <c r="O9" s="92">
        <v>0</v>
      </c>
      <c r="P9" s="92">
        <v>0</v>
      </c>
      <c r="Q9" s="92">
        <v>0</v>
      </c>
      <c r="R9" s="92">
        <f t="shared" si="0"/>
        <v>14.721311475409836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1012</v>
      </c>
      <c r="B10" s="95">
        <f t="shared" si="2"/>
        <v>76860.955171997048</v>
      </c>
      <c r="C10" s="95">
        <f t="shared" si="3"/>
        <v>77239.864565011841</v>
      </c>
      <c r="D10" s="95">
        <f t="shared" si="4"/>
        <v>77716.135073888829</v>
      </c>
      <c r="E10" s="95">
        <f t="shared" si="5"/>
        <v>78195.348906349813</v>
      </c>
      <c r="F10" s="95">
        <f t="shared" si="6"/>
        <v>78677.524292642993</v>
      </c>
      <c r="G10" s="95">
        <f t="shared" si="7"/>
        <v>79162.679576159193</v>
      </c>
      <c r="H10" s="95">
        <f t="shared" si="8"/>
        <v>79650.833214181883</v>
      </c>
      <c r="I10" s="95">
        <f t="shared" si="9"/>
        <v>80142.00377855447</v>
      </c>
      <c r="J10" s="95">
        <f t="shared" si="10"/>
        <v>80636.209956419087</v>
      </c>
      <c r="K10" s="95">
        <f t="shared" si="11"/>
        <v>81133.470550940023</v>
      </c>
      <c r="L10" s="95">
        <f t="shared" si="12"/>
        <v>78195.348906349813</v>
      </c>
      <c r="M10" s="94" t="s">
        <v>1025</v>
      </c>
      <c r="N10" s="94">
        <f>469-$AD$19</f>
        <v>449</v>
      </c>
      <c r="O10" s="94">
        <v>0</v>
      </c>
      <c r="P10" s="94">
        <v>0</v>
      </c>
      <c r="Q10" s="94">
        <v>0</v>
      </c>
      <c r="R10" s="94">
        <f t="shared" si="0"/>
        <v>14.721311475409836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1013</v>
      </c>
      <c r="B11" s="91">
        <f t="shared" si="2"/>
        <v>70268.259028903645</v>
      </c>
      <c r="C11" s="91">
        <f t="shared" si="3"/>
        <v>70733.098682762648</v>
      </c>
      <c r="D11" s="91">
        <f t="shared" si="4"/>
        <v>71318.482112502039</v>
      </c>
      <c r="E11" s="91">
        <f t="shared" si="5"/>
        <v>71908.718259098867</v>
      </c>
      <c r="F11" s="91">
        <f t="shared" si="6"/>
        <v>72503.847417929675</v>
      </c>
      <c r="G11" s="91">
        <f t="shared" si="7"/>
        <v>73103.9102195007</v>
      </c>
      <c r="H11" s="91">
        <f t="shared" si="8"/>
        <v>73708.947632296869</v>
      </c>
      <c r="I11" s="91">
        <f t="shared" si="9"/>
        <v>74319.000965546686</v>
      </c>
      <c r="J11" s="91">
        <f t="shared" si="10"/>
        <v>74934.111872093257</v>
      </c>
      <c r="K11" s="91">
        <f t="shared" si="11"/>
        <v>75554.322351265117</v>
      </c>
      <c r="L11" s="91">
        <f t="shared" si="12"/>
        <v>71908.718259098867</v>
      </c>
      <c r="M11" s="90" t="s">
        <v>1029</v>
      </c>
      <c r="N11" s="90">
        <f>622-$AD$19</f>
        <v>602</v>
      </c>
      <c r="O11" s="90">
        <v>0</v>
      </c>
      <c r="P11" s="90">
        <v>0</v>
      </c>
      <c r="Q11" s="90">
        <v>0</v>
      </c>
      <c r="R11" s="90">
        <f t="shared" si="0"/>
        <v>19.737704918032787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1014</v>
      </c>
      <c r="B12" s="93">
        <f>$S12/(1+($AC$2-$O12+$P12)/36500)^$N12</f>
        <v>86928.437316182462</v>
      </c>
      <c r="C12" s="93">
        <f>$S12/(1+($AC$3-$O12+$P12)/36500)^$N12</f>
        <v>87156.284291126969</v>
      </c>
      <c r="D12" s="93">
        <f t="shared" si="4"/>
        <v>87441.936540520313</v>
      </c>
      <c r="E12" s="93">
        <f t="shared" si="5"/>
        <v>87728.528937170136</v>
      </c>
      <c r="F12" s="93">
        <f t="shared" si="6"/>
        <v>88016.064588259047</v>
      </c>
      <c r="G12" s="93">
        <f t="shared" si="7"/>
        <v>88304.546611267957</v>
      </c>
      <c r="H12" s="93">
        <f t="shared" si="8"/>
        <v>88593.978134037796</v>
      </c>
      <c r="I12" s="93">
        <f t="shared" si="9"/>
        <v>88884.362294779348</v>
      </c>
      <c r="J12" s="93">
        <f t="shared" si="10"/>
        <v>89175.702242123545</v>
      </c>
      <c r="K12" s="93">
        <f t="shared" si="11"/>
        <v>89468.001135159458</v>
      </c>
      <c r="L12" s="93">
        <f t="shared" si="12"/>
        <v>87728.528937170136</v>
      </c>
      <c r="M12" s="92" t="s">
        <v>1030</v>
      </c>
      <c r="N12" s="92">
        <f>259-$AD$19</f>
        <v>239</v>
      </c>
      <c r="O12" s="92">
        <v>0</v>
      </c>
      <c r="P12" s="92">
        <v>0</v>
      </c>
      <c r="Q12" s="92">
        <v>0</v>
      </c>
      <c r="R12" s="92">
        <f t="shared" si="0"/>
        <v>7.8360655737704921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1015</v>
      </c>
      <c r="B13" s="95">
        <f t="shared" si="2"/>
        <v>67720.844456736537</v>
      </c>
      <c r="C13" s="95">
        <f t="shared" si="3"/>
        <v>68215.885835573761</v>
      </c>
      <c r="D13" s="95">
        <f t="shared" si="4"/>
        <v>68839.787268702261</v>
      </c>
      <c r="E13" s="95">
        <f t="shared" si="5"/>
        <v>69469.403553927375</v>
      </c>
      <c r="F13" s="95">
        <f t="shared" si="6"/>
        <v>70104.787117849846</v>
      </c>
      <c r="G13" s="95">
        <f t="shared" si="7"/>
        <v>70745.990868715977</v>
      </c>
      <c r="H13" s="95">
        <f t="shared" si="8"/>
        <v>71393.068200910289</v>
      </c>
      <c r="I13" s="95">
        <f t="shared" si="9"/>
        <v>72046.072999374112</v>
      </c>
      <c r="J13" s="95">
        <f t="shared" si="10"/>
        <v>72705.059644154011</v>
      </c>
      <c r="K13" s="95">
        <f t="shared" si="11"/>
        <v>73370.083014966236</v>
      </c>
      <c r="L13" s="95">
        <f t="shared" si="12"/>
        <v>69469.403553927375</v>
      </c>
      <c r="M13" s="94" t="s">
        <v>1031</v>
      </c>
      <c r="N13" s="94">
        <f>685-$AD$19</f>
        <v>665</v>
      </c>
      <c r="O13" s="94">
        <v>0</v>
      </c>
      <c r="P13" s="94">
        <v>0</v>
      </c>
      <c r="Q13" s="94">
        <v>0</v>
      </c>
      <c r="R13" s="94">
        <f t="shared" si="0"/>
        <v>21.803278688524589</v>
      </c>
      <c r="S13" s="95">
        <v>100000</v>
      </c>
      <c r="T13" s="95">
        <v>70000</v>
      </c>
      <c r="U13" s="95">
        <f t="shared" si="13"/>
        <v>100000.00000000001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1016</v>
      </c>
      <c r="B14" s="91">
        <f t="shared" si="2"/>
        <v>68841.423861210249</v>
      </c>
      <c r="C14" s="91">
        <f t="shared" si="3"/>
        <v>69323.393960537112</v>
      </c>
      <c r="D14" s="91">
        <f t="shared" si="4"/>
        <v>69930.612046241586</v>
      </c>
      <c r="E14" s="91">
        <f t="shared" si="5"/>
        <v>70543.157304852546</v>
      </c>
      <c r="F14" s="91">
        <f t="shared" si="6"/>
        <v>71161.076545995369</v>
      </c>
      <c r="G14" s="91">
        <f t="shared" si="7"/>
        <v>71784.416991229111</v>
      </c>
      <c r="H14" s="91">
        <f t="shared" si="8"/>
        <v>72413.226277736918</v>
      </c>
      <c r="I14" s="91">
        <f t="shared" si="9"/>
        <v>73047.552461936342</v>
      </c>
      <c r="J14" s="91">
        <f t="shared" si="10"/>
        <v>73687.444023208445</v>
      </c>
      <c r="K14" s="91">
        <f t="shared" si="11"/>
        <v>74332.949867634583</v>
      </c>
      <c r="L14" s="91">
        <f t="shared" si="12"/>
        <v>70543.157304852546</v>
      </c>
      <c r="M14" s="90" t="s">
        <v>1032</v>
      </c>
      <c r="N14" s="90">
        <f>657-$AD$19</f>
        <v>637</v>
      </c>
      <c r="O14" s="90">
        <v>0</v>
      </c>
      <c r="P14" s="90">
        <v>0</v>
      </c>
      <c r="Q14" s="90">
        <v>0</v>
      </c>
      <c r="R14" s="90">
        <f t="shared" si="0"/>
        <v>20.885245901639344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1017</v>
      </c>
      <c r="B15" s="93">
        <f t="shared" si="2"/>
        <v>68841.423861210249</v>
      </c>
      <c r="C15" s="93">
        <f t="shared" si="3"/>
        <v>69323.393960537112</v>
      </c>
      <c r="D15" s="93">
        <f t="shared" si="4"/>
        <v>69930.612046241586</v>
      </c>
      <c r="E15" s="93">
        <f t="shared" si="5"/>
        <v>70543.157304852546</v>
      </c>
      <c r="F15" s="93">
        <f t="shared" si="6"/>
        <v>71161.076545995369</v>
      </c>
      <c r="G15" s="93">
        <f t="shared" si="7"/>
        <v>71784.416991229111</v>
      </c>
      <c r="H15" s="93">
        <f t="shared" si="8"/>
        <v>72413.226277736918</v>
      </c>
      <c r="I15" s="93">
        <f t="shared" si="9"/>
        <v>73047.552461936342</v>
      </c>
      <c r="J15" s="93">
        <f t="shared" si="10"/>
        <v>73687.444023208445</v>
      </c>
      <c r="K15" s="93">
        <f t="shared" si="11"/>
        <v>74332.949867634583</v>
      </c>
      <c r="L15" s="93">
        <f t="shared" si="12"/>
        <v>70543.157304852546</v>
      </c>
      <c r="M15" s="92" t="s">
        <v>1032</v>
      </c>
      <c r="N15" s="92">
        <f>657-$AD$19</f>
        <v>637</v>
      </c>
      <c r="O15" s="92">
        <v>0</v>
      </c>
      <c r="P15" s="92">
        <v>0</v>
      </c>
      <c r="Q15" s="92">
        <v>0</v>
      </c>
      <c r="R15" s="92">
        <f t="shared" si="0"/>
        <v>20.885245901639344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4" t="s">
        <v>1018</v>
      </c>
      <c r="B16" s="95">
        <f t="shared" si="2"/>
        <v>71138.516300663425</v>
      </c>
      <c r="C16" s="95">
        <f t="shared" si="3"/>
        <v>71592.644448510342</v>
      </c>
      <c r="D16" s="95">
        <f t="shared" si="4"/>
        <v>72164.390627013679</v>
      </c>
      <c r="E16" s="95">
        <f t="shared" si="5"/>
        <v>72740.710750682993</v>
      </c>
      <c r="F16" s="95">
        <f t="shared" si="6"/>
        <v>73321.64147427406</v>
      </c>
      <c r="G16" s="95">
        <f t="shared" si="7"/>
        <v>73907.219746767063</v>
      </c>
      <c r="H16" s="95">
        <f t="shared" si="8"/>
        <v>74497.482813788316</v>
      </c>
      <c r="I16" s="95">
        <f t="shared" si="9"/>
        <v>75092.468219946008</v>
      </c>
      <c r="J16" s="95">
        <f t="shared" si="10"/>
        <v>75692.213811265683</v>
      </c>
      <c r="K16" s="95">
        <f t="shared" si="11"/>
        <v>76296.757737622087</v>
      </c>
      <c r="L16" s="95">
        <f t="shared" si="12"/>
        <v>72740.710750682993</v>
      </c>
      <c r="M16" s="94" t="s">
        <v>1022</v>
      </c>
      <c r="N16" s="94">
        <f>601-$AD$19</f>
        <v>581</v>
      </c>
      <c r="O16" s="94">
        <v>0</v>
      </c>
      <c r="P16" s="94">
        <v>0</v>
      </c>
      <c r="Q16" s="94">
        <v>0</v>
      </c>
      <c r="R16" s="94">
        <f t="shared" si="0"/>
        <v>19.049180327868854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1036</v>
      </c>
      <c r="B17" s="91">
        <f t="shared" si="2"/>
        <v>82997.975934145361</v>
      </c>
      <c r="C17" s="91">
        <f t="shared" si="3"/>
        <v>84259.782284250949</v>
      </c>
      <c r="D17" s="91">
        <f t="shared" si="4"/>
        <v>85864.070444663652</v>
      </c>
      <c r="E17" s="91">
        <f t="shared" si="5"/>
        <v>87498.926511659171</v>
      </c>
      <c r="F17" s="91">
        <f t="shared" si="6"/>
        <v>89164.933352973181</v>
      </c>
      <c r="G17" s="91">
        <f t="shared" si="7"/>
        <v>90862.684958746846</v>
      </c>
      <c r="H17" s="91">
        <f t="shared" si="8"/>
        <v>92592.786653845789</v>
      </c>
      <c r="I17" s="91">
        <f t="shared" si="9"/>
        <v>94355.855314155036</v>
      </c>
      <c r="J17" s="91">
        <f t="shared" si="10"/>
        <v>96152.519587505434</v>
      </c>
      <c r="K17" s="91">
        <f t="shared" si="11"/>
        <v>97983.420118123686</v>
      </c>
      <c r="L17" s="91">
        <f t="shared" si="12"/>
        <v>87498.926511659171</v>
      </c>
      <c r="M17" s="90" t="s">
        <v>1037</v>
      </c>
      <c r="N17" s="90">
        <f>1397-$AD$19</f>
        <v>1377</v>
      </c>
      <c r="O17" s="90">
        <v>17</v>
      </c>
      <c r="P17" s="90">
        <f>$AI$2</f>
        <v>0.54</v>
      </c>
      <c r="Q17" s="90">
        <v>6</v>
      </c>
      <c r="R17" s="90">
        <f t="shared" si="0"/>
        <v>45.147540983606561</v>
      </c>
      <c r="S17" s="91">
        <v>100000</v>
      </c>
      <c r="T17" s="91">
        <v>96000</v>
      </c>
      <c r="U17" s="91">
        <f t="shared" si="13"/>
        <v>186031.61428441372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984</v>
      </c>
      <c r="B18" s="93">
        <f>$S18/(1+($AC$2-$O18+$P18)/36500)^$N18</f>
        <v>98645.54745139135</v>
      </c>
      <c r="C18" s="93">
        <f t="shared" si="3"/>
        <v>99235.381961696228</v>
      </c>
      <c r="D18" s="93">
        <f>$S18/(1+($AC$4-$O18+$P18)/36500)^$N18</f>
        <v>99977.646339016181</v>
      </c>
      <c r="E18" s="93">
        <f t="shared" si="5"/>
        <v>100725.47301444539</v>
      </c>
      <c r="F18" s="93">
        <f t="shared" si="6"/>
        <v>101478.90374717835</v>
      </c>
      <c r="G18" s="93">
        <f t="shared" si="7"/>
        <v>102237.98061048257</v>
      </c>
      <c r="H18" s="93">
        <f t="shared" si="8"/>
        <v>103002.74599409191</v>
      </c>
      <c r="I18" s="93">
        <f t="shared" si="9"/>
        <v>103773.24260655562</v>
      </c>
      <c r="J18" s="93">
        <f t="shared" si="10"/>
        <v>104549.5134776936</v>
      </c>
      <c r="K18" s="93">
        <f t="shared" si="11"/>
        <v>105331.60196097313</v>
      </c>
      <c r="L18" s="93">
        <f t="shared" si="12"/>
        <v>100725.47301444539</v>
      </c>
      <c r="M18" s="92" t="s">
        <v>1003</v>
      </c>
      <c r="N18" s="92">
        <f>564-$AD$19</f>
        <v>544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17.83606557377049</v>
      </c>
      <c r="S18" s="93">
        <v>100000</v>
      </c>
      <c r="T18" s="93">
        <v>100000</v>
      </c>
      <c r="U18" s="93">
        <f t="shared" si="13"/>
        <v>135691.99552786507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1034</v>
      </c>
      <c r="AD18" t="s">
        <v>1074</v>
      </c>
      <c r="AF18" s="26"/>
    </row>
    <row r="19" spans="1:32" x14ac:dyDescent="0.25">
      <c r="A19" s="94" t="s">
        <v>985</v>
      </c>
      <c r="B19" s="95">
        <f t="shared" si="2"/>
        <v>91310.411011051838</v>
      </c>
      <c r="C19" s="95">
        <f t="shared" si="3"/>
        <v>91873.423171688482</v>
      </c>
      <c r="D19" s="95">
        <f t="shared" si="4"/>
        <v>92582.081422437972</v>
      </c>
      <c r="E19" s="95">
        <f t="shared" si="5"/>
        <v>93296.215670424499</v>
      </c>
      <c r="F19" s="95">
        <f t="shared" si="6"/>
        <v>94015.868306032513</v>
      </c>
      <c r="G19" s="95">
        <f t="shared" si="7"/>
        <v>94741.082048434342</v>
      </c>
      <c r="H19" s="95">
        <f t="shared" si="8"/>
        <v>95471.899948050966</v>
      </c>
      <c r="I19" s="95">
        <f t="shared" si="9"/>
        <v>96208.365389195431</v>
      </c>
      <c r="J19" s="95">
        <f t="shared" si="10"/>
        <v>96950.522092643805</v>
      </c>
      <c r="K19" s="95">
        <f t="shared" si="11"/>
        <v>97698.41411821534</v>
      </c>
      <c r="L19" s="95">
        <f t="shared" si="12"/>
        <v>93296.215670424499</v>
      </c>
      <c r="M19" s="94" t="s">
        <v>1004</v>
      </c>
      <c r="N19" s="94">
        <f>581-$AD$19</f>
        <v>561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18.393442622950818</v>
      </c>
      <c r="S19" s="95">
        <v>100000</v>
      </c>
      <c r="T19" s="95">
        <v>92000</v>
      </c>
      <c r="U19" s="95">
        <f t="shared" si="13"/>
        <v>126859.92136844678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1083</v>
      </c>
      <c r="AD19">
        <v>20</v>
      </c>
      <c r="AF19" s="26"/>
    </row>
    <row r="20" spans="1:32" x14ac:dyDescent="0.25">
      <c r="A20" s="90" t="s">
        <v>978</v>
      </c>
      <c r="B20" s="91">
        <f>$S20/(1+($AC$2-$O20+$P20)/36500)^$N20</f>
        <v>98475.067301790361</v>
      </c>
      <c r="C20" s="91">
        <f t="shared" si="3"/>
        <v>99138.81789450784</v>
      </c>
      <c r="D20" s="91">
        <f t="shared" si="4"/>
        <v>99974.811397219019</v>
      </c>
      <c r="E20" s="91">
        <f t="shared" si="5"/>
        <v>100817.86605801136</v>
      </c>
      <c r="F20" s="91">
        <f t="shared" si="6"/>
        <v>101668.0416164093</v>
      </c>
      <c r="G20" s="91">
        <f t="shared" si="7"/>
        <v>102525.39831816408</v>
      </c>
      <c r="H20" s="91">
        <f t="shared" si="8"/>
        <v>103389.99691958079</v>
      </c>
      <c r="I20" s="91">
        <f t="shared" si="9"/>
        <v>104261.89869181185</v>
      </c>
      <c r="J20" s="91">
        <f t="shared" si="10"/>
        <v>105141.16542528672</v>
      </c>
      <c r="K20" s="91">
        <f t="shared" si="11"/>
        <v>106027.85943406986</v>
      </c>
      <c r="L20" s="91">
        <f t="shared" si="12"/>
        <v>100817.86605801136</v>
      </c>
      <c r="M20" s="90" t="s">
        <v>1005</v>
      </c>
      <c r="N20" s="90">
        <f>633-$AD$19</f>
        <v>613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20.098360655737704</v>
      </c>
      <c r="S20" s="91">
        <v>100000</v>
      </c>
      <c r="T20" s="91">
        <v>100000</v>
      </c>
      <c r="U20" s="91">
        <f t="shared" si="13"/>
        <v>141048.07842958864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971</v>
      </c>
      <c r="B21" s="93">
        <f t="shared" si="2"/>
        <v>98307.346132819846</v>
      </c>
      <c r="C21" s="93">
        <f t="shared" si="3"/>
        <v>99043.745238805917</v>
      </c>
      <c r="D21" s="93">
        <f t="shared" si="4"/>
        <v>99972.017620182654</v>
      </c>
      <c r="E21" s="93">
        <f t="shared" si="5"/>
        <v>100909.00298801152</v>
      </c>
      <c r="F21" s="93">
        <f t="shared" si="6"/>
        <v>101854.78324551963</v>
      </c>
      <c r="G21" s="93">
        <f t="shared" si="7"/>
        <v>102809.44106695506</v>
      </c>
      <c r="H21" s="93">
        <f t="shared" si="8"/>
        <v>103773.05990488941</v>
      </c>
      <c r="I21" s="93">
        <f t="shared" si="9"/>
        <v>104745.72399751103</v>
      </c>
      <c r="J21" s="93">
        <f t="shared" si="10"/>
        <v>105727.51837609857</v>
      </c>
      <c r="K21" s="93">
        <f t="shared" si="11"/>
        <v>106718.52887244258</v>
      </c>
      <c r="L21" s="93">
        <f t="shared" si="12"/>
        <v>100909.00298801152</v>
      </c>
      <c r="M21" s="92" t="s">
        <v>1006</v>
      </c>
      <c r="N21" s="92">
        <f>701-$AD$19</f>
        <v>681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22.327868852459016</v>
      </c>
      <c r="S21" s="93">
        <v>100000</v>
      </c>
      <c r="T21" s="93">
        <v>100000</v>
      </c>
      <c r="U21" s="93">
        <f t="shared" si="13"/>
        <v>146533.34128111525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986</v>
      </c>
      <c r="B22" s="95">
        <f t="shared" si="2"/>
        <v>92687.533785835883</v>
      </c>
      <c r="C22" s="95">
        <f t="shared" si="3"/>
        <v>93409.410865854457</v>
      </c>
      <c r="D22" s="95">
        <f t="shared" si="4"/>
        <v>94319.67981406163</v>
      </c>
      <c r="E22" s="95">
        <f t="shared" si="5"/>
        <v>95238.831928174361</v>
      </c>
      <c r="F22" s="95">
        <f t="shared" si="6"/>
        <v>96166.954021036567</v>
      </c>
      <c r="G22" s="95">
        <f t="shared" si="7"/>
        <v>97104.133755060771</v>
      </c>
      <c r="H22" s="95">
        <f t="shared" si="8"/>
        <v>98050.459650632227</v>
      </c>
      <c r="I22" s="95">
        <f t="shared" si="9"/>
        <v>99006.021094426789</v>
      </c>
      <c r="J22" s="95">
        <f t="shared" si="10"/>
        <v>99970.908348013269</v>
      </c>
      <c r="K22" s="95">
        <f t="shared" si="11"/>
        <v>100945.21255631129</v>
      </c>
      <c r="L22" s="95">
        <f t="shared" si="12"/>
        <v>95238.831928174361</v>
      </c>
      <c r="M22" s="94" t="s">
        <v>1035</v>
      </c>
      <c r="N22" s="94">
        <f>728-$AD$19</f>
        <v>708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23.21311475409836</v>
      </c>
      <c r="S22" s="95">
        <v>100000</v>
      </c>
      <c r="T22" s="95">
        <v>95000</v>
      </c>
      <c r="U22" s="95">
        <f t="shared" si="13"/>
        <v>140360.44407887492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987</v>
      </c>
      <c r="B23" s="91">
        <f t="shared" si="2"/>
        <v>89988.425997574886</v>
      </c>
      <c r="C23" s="91">
        <f t="shared" si="3"/>
        <v>90632.619939999888</v>
      </c>
      <c r="D23" s="91">
        <f t="shared" si="4"/>
        <v>91444.361270029651</v>
      </c>
      <c r="E23" s="91">
        <f t="shared" si="5"/>
        <v>92263.384142107549</v>
      </c>
      <c r="F23" s="91">
        <f t="shared" si="6"/>
        <v>93089.753974707623</v>
      </c>
      <c r="G23" s="91">
        <f t="shared" si="7"/>
        <v>93923.536775000233</v>
      </c>
      <c r="H23" s="91">
        <f t="shared" si="8"/>
        <v>94764.799144050106</v>
      </c>
      <c r="I23" s="91">
        <f t="shared" si="9"/>
        <v>95613.608282248853</v>
      </c>
      <c r="J23" s="91">
        <f t="shared" si="10"/>
        <v>96470.031994689707</v>
      </c>
      <c r="K23" s="91">
        <f t="shared" si="11"/>
        <v>97334.138696578055</v>
      </c>
      <c r="L23" s="91">
        <f t="shared" si="12"/>
        <v>92263.384142107549</v>
      </c>
      <c r="M23" s="90" t="s">
        <v>1007</v>
      </c>
      <c r="N23" s="90">
        <f>671-$AD$19</f>
        <v>651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21.344262295081968</v>
      </c>
      <c r="S23" s="91">
        <v>100000</v>
      </c>
      <c r="T23" s="91">
        <v>90600</v>
      </c>
      <c r="U23" s="91">
        <f t="shared" si="13"/>
        <v>131795.4905487439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974</v>
      </c>
      <c r="AD23" t="s">
        <v>1084</v>
      </c>
      <c r="AE23" s="25"/>
      <c r="AF23" s="26"/>
    </row>
    <row r="24" spans="1:32" x14ac:dyDescent="0.25">
      <c r="A24" s="92" t="s">
        <v>988</v>
      </c>
      <c r="B24" s="93">
        <f t="shared" si="2"/>
        <v>83238.121614585893</v>
      </c>
      <c r="C24" s="93">
        <f t="shared" si="3"/>
        <v>84122.900048900352</v>
      </c>
      <c r="D24" s="93">
        <f>$S24/(1+($AC$4-$O24+$P24)/36500)^$N24</f>
        <v>85242.124086360287</v>
      </c>
      <c r="E24" s="93">
        <f t="shared" si="5"/>
        <v>86376.25462145338</v>
      </c>
      <c r="F24" s="93">
        <f t="shared" si="6"/>
        <v>87525.490396130117</v>
      </c>
      <c r="G24" s="93">
        <f t="shared" si="7"/>
        <v>88690.03280488243</v>
      </c>
      <c r="H24" s="93">
        <f t="shared" si="8"/>
        <v>89870.085930080109</v>
      </c>
      <c r="I24" s="93">
        <f t="shared" si="9"/>
        <v>91065.856578052335</v>
      </c>
      <c r="J24" s="93">
        <f t="shared" si="10"/>
        <v>92277.554315306654</v>
      </c>
      <c r="K24" s="93">
        <f t="shared" si="11"/>
        <v>93505.391505558888</v>
      </c>
      <c r="L24" s="93">
        <f t="shared" si="12"/>
        <v>86376.25462145338</v>
      </c>
      <c r="M24" s="92" t="s">
        <v>1008</v>
      </c>
      <c r="N24" s="92">
        <f>985-$AD$19</f>
        <v>965</v>
      </c>
      <c r="O24" s="92">
        <v>15</v>
      </c>
      <c r="P24" s="92">
        <f>$AI$2</f>
        <v>0.54</v>
      </c>
      <c r="Q24" s="92">
        <v>6</v>
      </c>
      <c r="R24" s="92">
        <f t="shared" si="0"/>
        <v>31.639344262295083</v>
      </c>
      <c r="S24" s="93">
        <v>100000</v>
      </c>
      <c r="T24" s="93">
        <v>85800</v>
      </c>
      <c r="U24" s="93">
        <f t="shared" si="13"/>
        <v>146543.22894527292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962</v>
      </c>
      <c r="B25" s="95">
        <f t="shared" si="2"/>
        <v>81787.772017566313</v>
      </c>
      <c r="C25" s="95">
        <f t="shared" si="3"/>
        <v>82095.603807312829</v>
      </c>
      <c r="D25" s="95">
        <f t="shared" si="4"/>
        <v>82482.028127861122</v>
      </c>
      <c r="E25" s="95">
        <f t="shared" si="5"/>
        <v>82870.276677098853</v>
      </c>
      <c r="F25" s="95">
        <f t="shared" si="6"/>
        <v>83260.358091991075</v>
      </c>
      <c r="G25" s="95">
        <f t="shared" si="7"/>
        <v>83652.281050495862</v>
      </c>
      <c r="H25" s="95">
        <f t="shared" si="8"/>
        <v>84046.054271796573</v>
      </c>
      <c r="I25" s="95">
        <f t="shared" si="9"/>
        <v>84441.686516464833</v>
      </c>
      <c r="J25" s="95">
        <f t="shared" si="10"/>
        <v>84839.186586678727</v>
      </c>
      <c r="K25" s="95">
        <f t="shared" si="11"/>
        <v>85238.56332642585</v>
      </c>
      <c r="L25" s="95">
        <f t="shared" si="12"/>
        <v>82870.276677098853</v>
      </c>
      <c r="M25" s="94" t="s">
        <v>1009</v>
      </c>
      <c r="N25" s="94">
        <f>363-$AD$19</f>
        <v>343</v>
      </c>
      <c r="O25" s="94">
        <v>0</v>
      </c>
      <c r="P25" s="94">
        <v>0</v>
      </c>
      <c r="Q25" s="94">
        <v>0</v>
      </c>
      <c r="R25" s="94">
        <f t="shared" si="0"/>
        <v>11.245901639344263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997</v>
      </c>
      <c r="B26" s="91">
        <f t="shared" si="2"/>
        <v>93572.224755693402</v>
      </c>
      <c r="C26" s="91">
        <f t="shared" si="3"/>
        <v>94862.793864625288</v>
      </c>
      <c r="D26" s="91">
        <f t="shared" si="4"/>
        <v>96501.085311652758</v>
      </c>
      <c r="E26" s="91">
        <f t="shared" si="5"/>
        <v>98167.693267319846</v>
      </c>
      <c r="F26" s="91">
        <f t="shared" si="6"/>
        <v>99863.107557000345</v>
      </c>
      <c r="G26" s="91">
        <f t="shared" si="7"/>
        <v>101587.82648601824</v>
      </c>
      <c r="H26" s="91">
        <f t="shared" si="8"/>
        <v>103342.35698665613</v>
      </c>
      <c r="I26" s="91">
        <f t="shared" si="9"/>
        <v>105127.21476757381</v>
      </c>
      <c r="J26" s="91">
        <f t="shared" si="10"/>
        <v>106942.92446587673</v>
      </c>
      <c r="K26" s="91">
        <f t="shared" si="11"/>
        <v>108790.01980188102</v>
      </c>
      <c r="L26" s="91">
        <f t="shared" si="12"/>
        <v>98167.693267319846</v>
      </c>
      <c r="M26" s="90" t="s">
        <v>1000</v>
      </c>
      <c r="N26" s="90">
        <f>1270-$AD$19</f>
        <v>1250</v>
      </c>
      <c r="O26" s="90">
        <v>20</v>
      </c>
      <c r="P26" s="90">
        <f>$AI$2</f>
        <v>0.54</v>
      </c>
      <c r="Q26" s="90">
        <v>6</v>
      </c>
      <c r="R26" s="90">
        <f t="shared" si="0"/>
        <v>40.983606557377051</v>
      </c>
      <c r="S26" s="91">
        <v>100000</v>
      </c>
      <c r="T26" s="91">
        <v>100000</v>
      </c>
      <c r="U26" s="91">
        <f t="shared" si="13"/>
        <v>194687.46872510249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1001</v>
      </c>
      <c r="B27" s="93">
        <f t="shared" si="2"/>
        <v>100077.81116968041</v>
      </c>
      <c r="C27" s="93">
        <f t="shared" si="3"/>
        <v>100444.79746812067</v>
      </c>
      <c r="D27" s="93">
        <f t="shared" si="4"/>
        <v>100905.4290612464</v>
      </c>
      <c r="E27" s="93">
        <f t="shared" si="5"/>
        <v>101368.17942671913</v>
      </c>
      <c r="F27" s="93">
        <f t="shared" si="6"/>
        <v>101833.05833951054</v>
      </c>
      <c r="G27" s="93">
        <f t="shared" si="7"/>
        <v>102300.0756198099</v>
      </c>
      <c r="H27" s="93">
        <f t="shared" si="8"/>
        <v>102769.24113326592</v>
      </c>
      <c r="I27" s="93">
        <f t="shared" si="9"/>
        <v>103240.56479117097</v>
      </c>
      <c r="J27" s="93">
        <f t="shared" si="10"/>
        <v>103714.05655068072</v>
      </c>
      <c r="K27" s="93">
        <f t="shared" si="11"/>
        <v>104189.72641503061</v>
      </c>
      <c r="L27" s="93">
        <f t="shared" si="12"/>
        <v>101368.17942671913</v>
      </c>
      <c r="M27" s="92" t="s">
        <v>1002</v>
      </c>
      <c r="N27" s="92">
        <f>354-$AD$19</f>
        <v>334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10.950819672131148</v>
      </c>
      <c r="S27" s="93">
        <v>100000</v>
      </c>
      <c r="T27" s="93">
        <v>103000</v>
      </c>
      <c r="U27" s="93">
        <f t="shared" si="13"/>
        <v>121719.01941719615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1027</v>
      </c>
      <c r="B28" s="95">
        <f t="shared" si="2"/>
        <v>99176.020746244743</v>
      </c>
      <c r="C28" s="95">
        <f t="shared" si="3"/>
        <v>100000</v>
      </c>
      <c r="D28" s="95">
        <f t="shared" si="4"/>
        <v>101039.62054890872</v>
      </c>
      <c r="E28" s="95">
        <f t="shared" si="5"/>
        <v>102090.06367094199</v>
      </c>
      <c r="F28" s="95">
        <f t="shared" si="6"/>
        <v>103151.44218096115</v>
      </c>
      <c r="G28" s="95">
        <f t="shared" si="7"/>
        <v>104223.87007134096</v>
      </c>
      <c r="H28" s="95">
        <f t="shared" si="8"/>
        <v>105307.46252438106</v>
      </c>
      <c r="I28" s="95">
        <f t="shared" si="9"/>
        <v>106402.33592463013</v>
      </c>
      <c r="J28" s="95">
        <f t="shared" si="10"/>
        <v>107508.60787152618</v>
      </c>
      <c r="K28" s="95">
        <f t="shared" si="11"/>
        <v>108626.3971920535</v>
      </c>
      <c r="L28" s="95">
        <f t="shared" si="12"/>
        <v>102090.06367094199</v>
      </c>
      <c r="M28" s="94" t="s">
        <v>1028</v>
      </c>
      <c r="N28" s="94">
        <f>775-$AD$19</f>
        <v>755</v>
      </c>
      <c r="O28" s="94">
        <v>21</v>
      </c>
      <c r="P28" s="94">
        <v>0</v>
      </c>
      <c r="Q28" s="94">
        <v>1</v>
      </c>
      <c r="R28" s="94">
        <f t="shared" si="0"/>
        <v>24.754098360655739</v>
      </c>
      <c r="S28" s="95">
        <v>100000</v>
      </c>
      <c r="T28" s="95">
        <v>104000</v>
      </c>
      <c r="U28" s="95">
        <f t="shared" si="13"/>
        <v>154381.07800631245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1078</v>
      </c>
      <c r="B29" s="91">
        <f t="shared" si="2"/>
        <v>83742.634408607875</v>
      </c>
      <c r="C29" s="91">
        <f t="shared" si="3"/>
        <v>84954.301053640738</v>
      </c>
      <c r="D29" s="91">
        <f t="shared" si="4"/>
        <v>86493.58685818479</v>
      </c>
      <c r="E29" s="91">
        <f t="shared" si="5"/>
        <v>88060.784620181425</v>
      </c>
      <c r="F29" s="91">
        <f t="shared" si="6"/>
        <v>89656.400861451722</v>
      </c>
      <c r="G29" s="91">
        <f t="shared" si="7"/>
        <v>91280.951302947447</v>
      </c>
      <c r="H29" s="91">
        <f t="shared" si="8"/>
        <v>92934.96103187502</v>
      </c>
      <c r="I29" s="91">
        <f t="shared" si="9"/>
        <v>94618.96467178117</v>
      </c>
      <c r="J29" s="91">
        <f t="shared" si="10"/>
        <v>96333.506556208769</v>
      </c>
      <c r="K29" s="91">
        <f t="shared" si="11"/>
        <v>98079.140904843924</v>
      </c>
      <c r="L29" s="91">
        <f t="shared" si="12"/>
        <v>88060.784620181425</v>
      </c>
      <c r="M29" s="90" t="s">
        <v>1079</v>
      </c>
      <c r="N29" s="90">
        <f>1331-$AD$19</f>
        <v>1311</v>
      </c>
      <c r="O29" s="90">
        <v>17</v>
      </c>
      <c r="P29" s="90">
        <f>AI2</f>
        <v>0.54</v>
      </c>
      <c r="Q29" s="90">
        <v>6</v>
      </c>
      <c r="R29" s="90">
        <f t="shared" si="0"/>
        <v>42.983606557377051</v>
      </c>
      <c r="S29" s="91">
        <v>100000</v>
      </c>
      <c r="T29" s="91"/>
      <c r="U29" s="91">
        <f t="shared" si="13"/>
        <v>180578.22722950004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1158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1159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1160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1091</v>
      </c>
    </row>
    <row r="2" spans="1:1" x14ac:dyDescent="0.25">
      <c r="A2" t="s">
        <v>1092</v>
      </c>
    </row>
    <row r="3" spans="1:1" x14ac:dyDescent="0.25">
      <c r="A3" t="s">
        <v>1093</v>
      </c>
    </row>
    <row r="4" spans="1:1" x14ac:dyDescent="0.25">
      <c r="A4" t="s">
        <v>1094</v>
      </c>
    </row>
    <row r="5" spans="1:1" x14ac:dyDescent="0.25">
      <c r="A5" t="s">
        <v>1095</v>
      </c>
    </row>
    <row r="6" spans="1:1" x14ac:dyDescent="0.25">
      <c r="A6" t="s">
        <v>1138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871</v>
      </c>
      <c r="N6" t="s">
        <v>1101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1102</v>
      </c>
      <c r="L10" s="34">
        <v>410021484671</v>
      </c>
      <c r="M10" s="33" t="s">
        <v>1103</v>
      </c>
      <c r="N10" t="s">
        <v>1105</v>
      </c>
      <c r="O10" t="s">
        <v>1106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725</v>
      </c>
      <c r="B83" s="38">
        <v>50000000</v>
      </c>
      <c r="C83" s="11" t="s">
        <v>728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723</v>
      </c>
      <c r="B84" s="38">
        <v>30000000</v>
      </c>
      <c r="C84" s="11" t="s">
        <v>729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723</v>
      </c>
      <c r="B85" s="38">
        <v>-72500000</v>
      </c>
      <c r="C85" s="11" t="s">
        <v>730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731</v>
      </c>
      <c r="B86" s="38">
        <v>-281000</v>
      </c>
      <c r="C86" s="11" t="s">
        <v>743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736</v>
      </c>
      <c r="B87" s="38">
        <v>2500000</v>
      </c>
      <c r="C87" s="11" t="s">
        <v>740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741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748</v>
      </c>
      <c r="B89" s="38">
        <v>15000000</v>
      </c>
      <c r="C89" s="11" t="s">
        <v>749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783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827</v>
      </c>
      <c r="B91" s="38">
        <v>272155</v>
      </c>
      <c r="C91" s="11" t="s">
        <v>829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868</v>
      </c>
      <c r="B92" s="38">
        <v>3000000</v>
      </c>
      <c r="C92" s="11" t="s">
        <v>870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868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877</v>
      </c>
      <c r="B94" s="38">
        <v>5500000</v>
      </c>
      <c r="C94" s="11" t="s">
        <v>878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879</v>
      </c>
      <c r="B95" s="38">
        <v>3000000</v>
      </c>
      <c r="C95" s="11" t="s">
        <v>880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881</v>
      </c>
      <c r="B96" s="38">
        <v>3000000</v>
      </c>
      <c r="C96" s="11" t="s">
        <v>882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883</v>
      </c>
      <c r="B97" s="38">
        <v>3000000</v>
      </c>
      <c r="C97" s="11" t="s">
        <v>884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885</v>
      </c>
      <c r="B98" s="38">
        <v>3000000</v>
      </c>
      <c r="C98" s="11" t="s">
        <v>886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887</v>
      </c>
      <c r="B99" s="38">
        <v>3000000</v>
      </c>
      <c r="C99" s="11" t="s">
        <v>888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889</v>
      </c>
      <c r="B100" s="38">
        <v>999500</v>
      </c>
      <c r="C100" s="11" t="s">
        <v>903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902</v>
      </c>
      <c r="B101" s="38">
        <v>-1986700</v>
      </c>
      <c r="C101" s="73" t="s">
        <v>904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906</v>
      </c>
      <c r="B102" s="38">
        <v>3000000</v>
      </c>
      <c r="C102" s="73" t="s">
        <v>907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1046</v>
      </c>
      <c r="B103" s="38">
        <v>295500</v>
      </c>
      <c r="C103" s="73" t="s">
        <v>1047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931</v>
      </c>
      <c r="B104" s="38">
        <v>-10000</v>
      </c>
      <c r="C104" s="73" t="s">
        <v>937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939</v>
      </c>
      <c r="B105" s="38">
        <v>1999000</v>
      </c>
      <c r="C105" s="73" t="s">
        <v>940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958</v>
      </c>
      <c r="B106" s="38">
        <v>-60000000</v>
      </c>
      <c r="C106" s="73" t="s">
        <v>1042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958</v>
      </c>
      <c r="B107" s="38">
        <v>5850000</v>
      </c>
      <c r="C107" s="73" t="s">
        <v>1044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1051</v>
      </c>
      <c r="B108" s="38">
        <v>3000000</v>
      </c>
      <c r="C108" s="73" t="s">
        <v>1061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1062</v>
      </c>
      <c r="B109" s="38">
        <v>2000000</v>
      </c>
      <c r="C109" s="73" t="s">
        <v>1061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1062</v>
      </c>
      <c r="B110" s="38">
        <v>-5000000</v>
      </c>
      <c r="C110" s="73" t="s">
        <v>1042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1068</v>
      </c>
      <c r="B111" s="38">
        <v>412668</v>
      </c>
      <c r="C111" s="73" t="s">
        <v>1069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1107</v>
      </c>
      <c r="B112" s="38">
        <v>42000000</v>
      </c>
      <c r="C112" s="73" t="s">
        <v>1108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1126</v>
      </c>
      <c r="B113" s="38">
        <v>-25000000</v>
      </c>
      <c r="C113" s="73" t="s">
        <v>1131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1128</v>
      </c>
      <c r="B114" s="38">
        <v>-200000</v>
      </c>
      <c r="C114" s="73" t="s">
        <v>1153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1161</v>
      </c>
      <c r="B115" s="38">
        <v>-18000000</v>
      </c>
      <c r="C115" s="73" t="s">
        <v>1162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1163</v>
      </c>
      <c r="B116" s="38">
        <v>-2500000</v>
      </c>
      <c r="C116" s="73" t="s">
        <v>1162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872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936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936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936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936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936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936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936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936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936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814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920</v>
      </c>
      <c r="B13" s="3">
        <v>436</v>
      </c>
      <c r="C13" s="11" t="s">
        <v>829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832</v>
      </c>
      <c r="B14" s="3">
        <v>1000000</v>
      </c>
      <c r="C14" s="11" t="s">
        <v>835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837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837</v>
      </c>
      <c r="B16" s="3">
        <v>-70600</v>
      </c>
      <c r="C16" s="11" t="s">
        <v>838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837</v>
      </c>
      <c r="B17" s="3">
        <v>-450030</v>
      </c>
      <c r="C17" s="11" t="s">
        <v>839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840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843</v>
      </c>
      <c r="B19" s="3">
        <v>-26000</v>
      </c>
      <c r="C19" s="11" t="s">
        <v>844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848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850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853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856</v>
      </c>
      <c r="B23" s="3">
        <v>-95500</v>
      </c>
      <c r="C23" s="11" t="s">
        <v>857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858</v>
      </c>
      <c r="B24" s="3">
        <v>2000000</v>
      </c>
      <c r="C24" s="11" t="s">
        <v>859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858</v>
      </c>
      <c r="B25" s="3">
        <v>-131450</v>
      </c>
      <c r="C25" s="11" t="s">
        <v>861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863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864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865</v>
      </c>
      <c r="B28" s="3">
        <v>-180500</v>
      </c>
      <c r="C28" s="11" t="s">
        <v>866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868</v>
      </c>
      <c r="B29" s="35">
        <v>7117</v>
      </c>
      <c r="C29" s="11" t="s">
        <v>875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883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889</v>
      </c>
      <c r="B31" s="3">
        <v>-47053</v>
      </c>
      <c r="C31" s="11" t="s">
        <v>890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891</v>
      </c>
      <c r="B32" s="3">
        <v>-33870</v>
      </c>
      <c r="C32" s="11" t="s">
        <v>892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893</v>
      </c>
      <c r="B33" s="3">
        <v>-22000</v>
      </c>
      <c r="C33" s="11" t="s">
        <v>894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893</v>
      </c>
      <c r="B34" s="3">
        <v>-250000</v>
      </c>
      <c r="C34" s="11" t="s">
        <v>895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893</v>
      </c>
      <c r="B35" s="3">
        <v>-650500</v>
      </c>
      <c r="C35" s="11" t="s">
        <v>896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897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898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921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922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923</v>
      </c>
      <c r="B40" s="3">
        <v>-30000</v>
      </c>
      <c r="C40" s="11" t="s">
        <v>924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906</v>
      </c>
      <c r="B41" s="3">
        <v>7481</v>
      </c>
      <c r="C41" s="11" t="s">
        <v>925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909</v>
      </c>
      <c r="B42" s="3">
        <v>1000000</v>
      </c>
      <c r="C42" s="11" t="s">
        <v>910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926</v>
      </c>
      <c r="B43" s="3">
        <v>-39330</v>
      </c>
      <c r="C43" s="11" t="s">
        <v>912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927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911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913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928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929</v>
      </c>
      <c r="B48" s="3">
        <v>-83000</v>
      </c>
      <c r="C48" s="11" t="s">
        <v>930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931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932</v>
      </c>
      <c r="B50" s="3">
        <v>-180000</v>
      </c>
      <c r="C50" s="11" t="s">
        <v>933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934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935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945</v>
      </c>
      <c r="B53" s="3">
        <v>-22000</v>
      </c>
      <c r="C53" s="11" t="s">
        <v>946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939</v>
      </c>
      <c r="B54" s="3">
        <v>999000</v>
      </c>
      <c r="C54" s="11" t="s">
        <v>943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939</v>
      </c>
      <c r="B55" s="3">
        <v>106900</v>
      </c>
      <c r="C55" s="11" t="s">
        <v>944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939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950</v>
      </c>
      <c r="B57" s="3">
        <v>-18400</v>
      </c>
      <c r="C57" s="11" t="s">
        <v>890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959</v>
      </c>
      <c r="B58" s="3">
        <v>-457777</v>
      </c>
      <c r="C58" s="11" t="s">
        <v>952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1072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1051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1068</v>
      </c>
      <c r="B61" s="3">
        <v>4172</v>
      </c>
      <c r="C61" s="11" t="s">
        <v>1070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1074</v>
      </c>
      <c r="B62" s="3">
        <v>-161000</v>
      </c>
      <c r="C62" s="11" t="s">
        <v>1082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1087</v>
      </c>
      <c r="B63" s="3">
        <v>-149505</v>
      </c>
      <c r="C63" s="11" t="s">
        <v>1088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1100</v>
      </c>
      <c r="B64" s="3">
        <v>-4940</v>
      </c>
      <c r="C64" s="11" t="s">
        <v>1104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721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723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724</v>
      </c>
    </row>
    <row r="153" spans="1:11" x14ac:dyDescent="0.25">
      <c r="A153" s="11" t="s">
        <v>731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732</v>
      </c>
    </row>
    <row r="154" spans="1:11" x14ac:dyDescent="0.25">
      <c r="A154" s="11" t="s">
        <v>731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733</v>
      </c>
    </row>
    <row r="155" spans="1:11" x14ac:dyDescent="0.25">
      <c r="A155" s="11" t="s">
        <v>736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737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738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739</v>
      </c>
    </row>
    <row r="158" spans="1:11" x14ac:dyDescent="0.25">
      <c r="A158" s="11" t="s">
        <v>759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753</v>
      </c>
    </row>
    <row r="159" spans="1:11" x14ac:dyDescent="0.25">
      <c r="A159" s="11" t="s">
        <v>759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766</v>
      </c>
    </row>
    <row r="160" spans="1:11" x14ac:dyDescent="0.25">
      <c r="A160" s="11" t="s">
        <v>767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768</v>
      </c>
    </row>
    <row r="161" spans="1:7" x14ac:dyDescent="0.25">
      <c r="A161" s="11" t="s">
        <v>774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768</v>
      </c>
    </row>
    <row r="162" spans="1:7" x14ac:dyDescent="0.25">
      <c r="A162" s="11" t="s">
        <v>776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768</v>
      </c>
    </row>
    <row r="163" spans="1:7" x14ac:dyDescent="0.25">
      <c r="A163" s="11" t="s">
        <v>777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768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781</v>
      </c>
    </row>
    <row r="165" spans="1:7" x14ac:dyDescent="0.25">
      <c r="A165" s="11" t="s">
        <v>786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787</v>
      </c>
    </row>
    <row r="166" spans="1:7" x14ac:dyDescent="0.25">
      <c r="A166" s="11" t="s">
        <v>786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788</v>
      </c>
    </row>
    <row r="167" spans="1:7" x14ac:dyDescent="0.25">
      <c r="A167" s="11" t="s">
        <v>801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803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805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810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810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811</v>
      </c>
    </row>
    <row r="172" spans="1:7" x14ac:dyDescent="0.25">
      <c r="A172" s="11" t="s">
        <v>813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813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816</v>
      </c>
    </row>
    <row r="174" spans="1:7" x14ac:dyDescent="0.25">
      <c r="A174" s="11" t="s">
        <v>814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817</v>
      </c>
    </row>
    <row r="175" spans="1:7" x14ac:dyDescent="0.25">
      <c r="A175" s="11" t="s">
        <v>814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818</v>
      </c>
    </row>
    <row r="176" spans="1:7" x14ac:dyDescent="0.25">
      <c r="A176" s="11" t="s">
        <v>822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768</v>
      </c>
    </row>
    <row r="177" spans="1:7" x14ac:dyDescent="0.25">
      <c r="A177" s="11" t="s">
        <v>822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823</v>
      </c>
    </row>
    <row r="178" spans="1:7" x14ac:dyDescent="0.25">
      <c r="A178" s="11" t="s">
        <v>824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827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832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836</v>
      </c>
    </row>
    <row r="181" spans="1:7" x14ac:dyDescent="0.25">
      <c r="A181" s="11" t="s">
        <v>845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846</v>
      </c>
    </row>
    <row r="182" spans="1:7" x14ac:dyDescent="0.25">
      <c r="A182" s="11" t="s">
        <v>858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860</v>
      </c>
    </row>
    <row r="183" spans="1:7" x14ac:dyDescent="0.25">
      <c r="A183" s="11" t="s">
        <v>868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906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931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937</v>
      </c>
    </row>
    <row r="186" spans="1:7" x14ac:dyDescent="0.25">
      <c r="A186" s="11" t="s">
        <v>950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1052</v>
      </c>
    </row>
    <row r="187" spans="1:7" x14ac:dyDescent="0.25">
      <c r="A187" s="11" t="s">
        <v>1051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1052</v>
      </c>
    </row>
    <row r="188" spans="1:7" x14ac:dyDescent="0.25">
      <c r="A188" s="11" t="s">
        <v>1051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1063</v>
      </c>
    </row>
    <row r="189" spans="1:7" x14ac:dyDescent="0.25">
      <c r="A189" s="11" t="s">
        <v>1062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1063</v>
      </c>
    </row>
    <row r="190" spans="1:7" x14ac:dyDescent="0.25">
      <c r="A190" s="11" t="s">
        <v>1062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1052</v>
      </c>
    </row>
    <row r="191" spans="1:7" x14ac:dyDescent="0.25">
      <c r="A191" s="11" t="s">
        <v>1068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1070</v>
      </c>
    </row>
    <row r="192" spans="1:7" x14ac:dyDescent="0.25">
      <c r="A192" s="11" t="s">
        <v>1096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1097</v>
      </c>
    </row>
    <row r="193" spans="1:7" x14ac:dyDescent="0.25">
      <c r="A193" s="11" t="s">
        <v>1107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1108</v>
      </c>
    </row>
    <row r="194" spans="1:7" x14ac:dyDescent="0.25">
      <c r="A194" s="11" t="s">
        <v>1126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1132</v>
      </c>
    </row>
    <row r="195" spans="1:7" x14ac:dyDescent="0.25">
      <c r="A195" s="11" t="s">
        <v>1126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1133</v>
      </c>
    </row>
    <row r="196" spans="1:7" x14ac:dyDescent="0.25">
      <c r="A196" s="11" t="s">
        <v>1126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1134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C22" zoomScaleNormal="100" workbookViewId="0">
      <selection activeCell="G37" sqref="G3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953</v>
      </c>
      <c r="N1" s="11" t="s">
        <v>452</v>
      </c>
      <c r="O1" s="11" t="s">
        <v>754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957</v>
      </c>
      <c r="S2" s="29" t="s">
        <v>723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760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714</v>
      </c>
      <c r="N3" s="29">
        <v>46000000</v>
      </c>
      <c r="O3" s="29">
        <v>40000000</v>
      </c>
      <c r="P3" s="11" t="s">
        <v>955</v>
      </c>
      <c r="S3" s="29" t="s">
        <v>759</v>
      </c>
      <c r="T3" s="29">
        <v>6000000</v>
      </c>
      <c r="U3" s="11">
        <v>25</v>
      </c>
      <c r="V3" s="29">
        <f t="shared" si="1"/>
        <v>150000000</v>
      </c>
      <c r="W3" s="11" t="s">
        <v>761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786</v>
      </c>
      <c r="T4" s="29">
        <v>3500000</v>
      </c>
      <c r="U4" s="11">
        <v>19</v>
      </c>
      <c r="V4" s="29">
        <f t="shared" si="1"/>
        <v>66500000</v>
      </c>
      <c r="W4" s="11" t="s">
        <v>789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715</v>
      </c>
      <c r="N5" s="29">
        <v>27000000</v>
      </c>
      <c r="O5" s="29">
        <v>41000000</v>
      </c>
      <c r="P5" s="11" t="s">
        <v>715</v>
      </c>
      <c r="S5" s="29" t="s">
        <v>812</v>
      </c>
      <c r="T5" s="29">
        <v>500000</v>
      </c>
      <c r="U5" s="11">
        <v>3</v>
      </c>
      <c r="V5" s="29">
        <f t="shared" si="1"/>
        <v>1500000</v>
      </c>
      <c r="W5" s="11" t="s">
        <v>815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-L59*12</f>
        <v>-37560000</v>
      </c>
      <c r="O6" s="29">
        <v>-25000000</v>
      </c>
      <c r="P6" s="11" t="s">
        <v>956</v>
      </c>
      <c r="S6" s="29" t="s">
        <v>814</v>
      </c>
      <c r="T6" s="29">
        <v>-2500000</v>
      </c>
      <c r="U6" s="11">
        <v>1</v>
      </c>
      <c r="V6" s="29">
        <f t="shared" si="1"/>
        <v>-2500000</v>
      </c>
      <c r="W6" s="11" t="s">
        <v>819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720</v>
      </c>
      <c r="M7" s="11" t="s">
        <v>716</v>
      </c>
      <c r="N7" s="29">
        <v>57000000</v>
      </c>
      <c r="O7" s="29"/>
      <c r="P7" s="11"/>
      <c r="S7" s="29" t="s">
        <v>820</v>
      </c>
      <c r="T7" s="29">
        <v>-5800000</v>
      </c>
      <c r="U7" s="11">
        <v>2</v>
      </c>
      <c r="V7" s="29">
        <f t="shared" si="1"/>
        <v>-11600000</v>
      </c>
      <c r="W7" s="11" t="s">
        <v>821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954</v>
      </c>
      <c r="N8" s="29">
        <f>L56*12</f>
        <v>9960000</v>
      </c>
      <c r="O8" s="29"/>
      <c r="P8" s="11"/>
      <c r="S8" s="29" t="s">
        <v>824</v>
      </c>
      <c r="T8" s="29">
        <v>-7500000</v>
      </c>
      <c r="U8" s="11">
        <v>4</v>
      </c>
      <c r="V8" s="29">
        <f t="shared" si="1"/>
        <v>-30000000</v>
      </c>
      <c r="W8" s="11" t="s">
        <v>825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735</v>
      </c>
      <c r="M9" s="11" t="s">
        <v>25</v>
      </c>
      <c r="N9" s="29"/>
      <c r="O9" s="29"/>
      <c r="P9" s="11"/>
      <c r="S9" s="29" t="s">
        <v>832</v>
      </c>
      <c r="T9" s="29">
        <v>-8500000</v>
      </c>
      <c r="U9" s="11">
        <v>7</v>
      </c>
      <c r="V9" s="29">
        <f>T9*U9</f>
        <v>-59500000</v>
      </c>
      <c r="W9" s="11" t="s">
        <v>834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785</v>
      </c>
      <c r="M10" s="11" t="s">
        <v>718</v>
      </c>
      <c r="N10" s="29">
        <f>SUM(N2:N6)</f>
        <v>126440000</v>
      </c>
      <c r="O10" s="29"/>
      <c r="P10" s="11"/>
      <c r="S10" s="29" t="s">
        <v>845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847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831</v>
      </c>
      <c r="M11" s="11" t="s">
        <v>719</v>
      </c>
      <c r="N11" s="29">
        <f>SUM(N2:N9)</f>
        <v>193400000</v>
      </c>
      <c r="O11" s="29">
        <f>SUM(O2:O9)</f>
        <v>210000000</v>
      </c>
      <c r="P11" s="11"/>
      <c r="S11" s="29" t="s">
        <v>868</v>
      </c>
      <c r="T11" s="29">
        <v>-7500000</v>
      </c>
      <c r="U11" s="11">
        <v>30</v>
      </c>
      <c r="V11" s="29">
        <f t="shared" si="5"/>
        <v>-225000000</v>
      </c>
      <c r="W11" s="75" t="s">
        <v>869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876</v>
      </c>
      <c r="S12" s="29" t="s">
        <v>906</v>
      </c>
      <c r="T12" s="29">
        <v>-4500000</v>
      </c>
      <c r="U12" s="11">
        <v>21</v>
      </c>
      <c r="V12" s="29">
        <f t="shared" si="5"/>
        <v>-94500000</v>
      </c>
      <c r="W12" s="11" t="s">
        <v>947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914</v>
      </c>
      <c r="O13" t="s">
        <v>25</v>
      </c>
      <c r="S13" s="29" t="s">
        <v>939</v>
      </c>
      <c r="T13" s="29">
        <v>-3500000</v>
      </c>
      <c r="U13" s="11">
        <v>5</v>
      </c>
      <c r="V13" s="29">
        <f t="shared" si="5"/>
        <v>-17500000</v>
      </c>
      <c r="W13" s="11" t="s">
        <v>948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1098</v>
      </c>
      <c r="L14" s="25"/>
      <c r="O14" s="25"/>
      <c r="R14" s="25"/>
      <c r="S14" s="29" t="s">
        <v>958</v>
      </c>
      <c r="T14" s="29">
        <v>-500000</v>
      </c>
      <c r="U14" s="11">
        <v>100</v>
      </c>
      <c r="V14" s="29">
        <f t="shared" si="5"/>
        <v>-50000000</v>
      </c>
      <c r="W14" s="11" t="s">
        <v>1045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L28</f>
        <v>91019358</v>
      </c>
      <c r="G15" s="29">
        <f t="shared" si="0"/>
        <v>3533642</v>
      </c>
      <c r="H15" s="11"/>
      <c r="K15" s="2" t="s">
        <v>451</v>
      </c>
      <c r="L15" s="2" t="s">
        <v>452</v>
      </c>
      <c r="M15" s="2"/>
      <c r="N15" s="2" t="s">
        <v>754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755</v>
      </c>
      <c r="N16" s="3">
        <f>'مسکن مریم یاران'!B127</f>
        <v>4027461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1258739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756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763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764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734</v>
      </c>
      <c r="L21" s="43">
        <v>0</v>
      </c>
      <c r="M21" s="2" t="s">
        <v>765</v>
      </c>
      <c r="N21" s="3">
        <f>-1*L19</f>
        <v>7200000</v>
      </c>
      <c r="S21" s="29"/>
      <c r="T21" s="11"/>
      <c r="U21" s="11"/>
      <c r="V21" s="11"/>
      <c r="W21" s="11" t="s">
        <v>722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938</v>
      </c>
      <c r="L22" s="43">
        <v>4800000</v>
      </c>
      <c r="M22" s="2" t="s">
        <v>757</v>
      </c>
      <c r="N22" s="3">
        <v>980000</v>
      </c>
      <c r="P22" t="s">
        <v>25</v>
      </c>
      <c r="S22" s="11"/>
      <c r="T22" s="11"/>
      <c r="U22" s="11"/>
      <c r="V22" s="11"/>
      <c r="W22" s="11" t="s">
        <v>758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951</v>
      </c>
      <c r="L23" s="43">
        <v>0</v>
      </c>
      <c r="M23" s="2" t="s">
        <v>769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1135</v>
      </c>
      <c r="L24" s="43">
        <f>سکه!T22</f>
        <v>91000000</v>
      </c>
      <c r="M24" s="2" t="s">
        <v>905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 t="s">
        <v>1164</v>
      </c>
      <c r="L25" s="43">
        <v>20485000</v>
      </c>
      <c r="M25" s="2" t="s">
        <v>1135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 t="s">
        <v>1166</v>
      </c>
      <c r="L26" s="43">
        <v>-20500000</v>
      </c>
      <c r="M26" s="2" t="s">
        <v>1165</v>
      </c>
      <c r="N26" s="3">
        <v>20500000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/>
      <c r="L27" s="43"/>
      <c r="M27" s="2"/>
      <c r="N27" s="3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598</v>
      </c>
      <c r="L28" s="3">
        <f>SUM(L16:L26)</f>
        <v>91019358</v>
      </c>
      <c r="M28" s="2"/>
      <c r="N28" s="3">
        <f>SUM(N16:N26)</f>
        <v>154166200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2" t="s">
        <v>599</v>
      </c>
      <c r="L29" s="3">
        <f>L16+L17+L20</f>
        <v>1434358</v>
      </c>
      <c r="M29" s="2"/>
      <c r="N29" s="3">
        <f>N16+N17+N22</f>
        <v>6266200</v>
      </c>
      <c r="O29" t="s">
        <v>25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K30" s="56" t="s">
        <v>717</v>
      </c>
      <c r="L30" s="1">
        <f>L28+N7</f>
        <v>148019358</v>
      </c>
      <c r="M30" s="3"/>
      <c r="N30" s="2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M34" s="26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3"/>
      <c r="L35" s="11" t="s">
        <v>304</v>
      </c>
      <c r="M35" s="25"/>
      <c r="N35" s="25"/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305</v>
      </c>
      <c r="L36" s="1">
        <v>70000</v>
      </c>
      <c r="M36" s="25"/>
      <c r="N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321</v>
      </c>
      <c r="L37" s="1">
        <v>100000</v>
      </c>
      <c r="M37" t="s">
        <v>25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1" t="s">
        <v>306</v>
      </c>
      <c r="L38" s="1">
        <v>80000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307</v>
      </c>
      <c r="L39" s="1">
        <v>150000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308</v>
      </c>
      <c r="L40" s="1">
        <v>300000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309</v>
      </c>
      <c r="L41" s="1">
        <v>100000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31" t="s">
        <v>310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18" t="s">
        <v>311</v>
      </c>
      <c r="L43" s="18">
        <v>300000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312</v>
      </c>
      <c r="L44" s="1">
        <v>200000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313</v>
      </c>
      <c r="L45" s="1">
        <v>20000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315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316</v>
      </c>
      <c r="L47" s="1">
        <v>90000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317</v>
      </c>
      <c r="L48" s="1">
        <v>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327</v>
      </c>
      <c r="L49" s="1">
        <v>150000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318</v>
      </c>
      <c r="L50" s="1">
        <v>15000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319</v>
      </c>
      <c r="L51" s="1">
        <v>20000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320</v>
      </c>
      <c r="L52" s="1">
        <v>40000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322</v>
      </c>
      <c r="L53" s="1">
        <v>150000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324</v>
      </c>
      <c r="L54" s="1">
        <v>75000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32" t="s">
        <v>314</v>
      </c>
      <c r="L55" s="1">
        <v>140000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 t="s">
        <v>478</v>
      </c>
      <c r="L56" s="3">
        <v>830000</v>
      </c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6</v>
      </c>
      <c r="L59" s="3">
        <f>SUM(L36:L57)</f>
        <v>3130000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  <c r="K60" s="2" t="s">
        <v>328</v>
      </c>
      <c r="L60" s="3">
        <f>L59/30</f>
        <v>104333.33333333333</v>
      </c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6" spans="1:12" x14ac:dyDescent="0.25">
      <c r="K66" s="48" t="s">
        <v>798</v>
      </c>
      <c r="L66" s="48" t="s">
        <v>476</v>
      </c>
    </row>
    <row r="67" spans="1:12" x14ac:dyDescent="0.25">
      <c r="A67" t="s">
        <v>25</v>
      </c>
      <c r="K67" s="47">
        <v>1440000</v>
      </c>
      <c r="L67" s="48" t="s">
        <v>1073</v>
      </c>
    </row>
    <row r="68" spans="1:12" x14ac:dyDescent="0.25">
      <c r="K68" s="47">
        <v>500000</v>
      </c>
      <c r="L68" s="48" t="s">
        <v>479</v>
      </c>
    </row>
    <row r="69" spans="1:12" x14ac:dyDescent="0.25">
      <c r="K69" s="47">
        <v>180000</v>
      </c>
      <c r="L69" s="48" t="s">
        <v>558</v>
      </c>
    </row>
    <row r="70" spans="1:12" x14ac:dyDescent="0.25">
      <c r="K70" s="47">
        <v>300000</v>
      </c>
      <c r="L70" s="48" t="s">
        <v>794</v>
      </c>
    </row>
    <row r="71" spans="1:12" x14ac:dyDescent="0.25">
      <c r="K71" s="47">
        <v>250000</v>
      </c>
      <c r="L71" s="48" t="s">
        <v>795</v>
      </c>
    </row>
    <row r="72" spans="1:12" x14ac:dyDescent="0.25">
      <c r="K72" s="47">
        <v>500000</v>
      </c>
      <c r="L72" s="48" t="s">
        <v>796</v>
      </c>
    </row>
    <row r="73" spans="1:12" x14ac:dyDescent="0.25">
      <c r="K73" s="47">
        <v>75000</v>
      </c>
      <c r="L73" s="48" t="s">
        <v>797</v>
      </c>
    </row>
    <row r="74" spans="1:12" x14ac:dyDescent="0.25">
      <c r="K74" s="47">
        <v>450000</v>
      </c>
      <c r="L74" s="48" t="s">
        <v>799</v>
      </c>
    </row>
    <row r="75" spans="1:12" x14ac:dyDescent="0.25">
      <c r="K75" s="47">
        <v>500000</v>
      </c>
      <c r="L75" s="48" t="s">
        <v>564</v>
      </c>
    </row>
    <row r="76" spans="1:12" x14ac:dyDescent="0.25">
      <c r="K76" s="47">
        <v>50000</v>
      </c>
      <c r="L76" s="48" t="s">
        <v>802</v>
      </c>
    </row>
    <row r="77" spans="1:12" x14ac:dyDescent="0.25">
      <c r="K77" s="47">
        <v>140000</v>
      </c>
      <c r="L77" s="48" t="s">
        <v>314</v>
      </c>
    </row>
    <row r="78" spans="1:12" x14ac:dyDescent="0.25">
      <c r="K78" s="47"/>
      <c r="L78" s="48" t="s">
        <v>25</v>
      </c>
    </row>
    <row r="79" spans="1:12" x14ac:dyDescent="0.25">
      <c r="K79" s="47">
        <f>SUM(K67:K78)</f>
        <v>4385000</v>
      </c>
      <c r="L79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814</v>
      </c>
      <c r="B9" s="3">
        <v>-80000</v>
      </c>
      <c r="C9" t="s">
        <v>826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909</v>
      </c>
      <c r="B10" s="3">
        <v>850000</v>
      </c>
      <c r="C10" t="s">
        <v>915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931</v>
      </c>
      <c r="B11" s="3">
        <v>-700000</v>
      </c>
      <c r="C11" t="s">
        <v>941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939</v>
      </c>
      <c r="B12" s="3">
        <v>1000000</v>
      </c>
      <c r="C12" t="s">
        <v>942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1068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1074</v>
      </c>
      <c r="B14" s="3">
        <v>-191000</v>
      </c>
      <c r="C14" t="s">
        <v>941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1128</v>
      </c>
      <c r="B15" s="3">
        <v>-200000</v>
      </c>
      <c r="C15" t="s">
        <v>826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1074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804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1155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1074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1155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747</v>
      </c>
      <c r="I39" s="11">
        <v>190000</v>
      </c>
      <c r="J39" s="11" t="s">
        <v>746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745</v>
      </c>
      <c r="I40" s="11">
        <v>225000</v>
      </c>
      <c r="J40" s="11" t="s">
        <v>744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1155</v>
      </c>
      <c r="I41" s="11">
        <v>231000</v>
      </c>
      <c r="J41" s="11" t="s">
        <v>791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792</v>
      </c>
      <c r="I42" s="11">
        <v>216000</v>
      </c>
      <c r="J42" s="11" t="s">
        <v>793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827</v>
      </c>
      <c r="I43" s="11">
        <v>227000</v>
      </c>
      <c r="J43" s="11" t="s">
        <v>828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893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1155</v>
      </c>
      <c r="I45" s="11">
        <v>231000</v>
      </c>
      <c r="J45" s="11" t="s">
        <v>1154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سکه</vt:lpstr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2018-04-08T14:48:06Z</dcterms:modified>
</cp:coreProperties>
</file>