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8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V163" i="18" l="1"/>
  <c r="W163" i="18"/>
  <c r="X163" i="18"/>
  <c r="V162" i="18"/>
  <c r="W162" i="18"/>
  <c r="X162" i="18"/>
  <c r="P112" i="52" l="1"/>
  <c r="O112" i="52"/>
  <c r="S163" i="18"/>
  <c r="S162" i="18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O126" i="52" l="1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P113" i="52" l="1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P179" i="18" l="1"/>
  <c r="W255" i="18"/>
  <c r="J108" i="52"/>
  <c r="R219" i="18" l="1"/>
  <c r="U257" i="18"/>
  <c r="W254" i="18"/>
  <c r="W253" i="18"/>
  <c r="O106" i="52" l="1"/>
  <c r="J106" i="52"/>
  <c r="J104" i="52" l="1"/>
  <c r="G136" i="18"/>
  <c r="E276" i="15"/>
  <c r="E277" i="15"/>
  <c r="E278" i="15"/>
  <c r="E279" i="15"/>
  <c r="E280" i="15"/>
  <c r="E281" i="15"/>
  <c r="E282" i="15"/>
  <c r="E283" i="15"/>
  <c r="E289" i="15"/>
  <c r="E290" i="15"/>
  <c r="E291" i="15"/>
  <c r="D292" i="15"/>
  <c r="D291" i="15" s="1"/>
  <c r="E292" i="15"/>
  <c r="F291" i="15" l="1"/>
  <c r="D290" i="15"/>
  <c r="F292" i="15"/>
  <c r="AL249" i="18"/>
  <c r="AM249" i="18" s="1"/>
  <c r="W252" i="18"/>
  <c r="D289" i="15" l="1"/>
  <c r="F290" i="15"/>
  <c r="AL248" i="18"/>
  <c r="D8" i="60"/>
  <c r="C7" i="60"/>
  <c r="J3" i="60"/>
  <c r="F8" i="60" s="1"/>
  <c r="D3" i="60"/>
  <c r="D4" i="60"/>
  <c r="D5" i="60"/>
  <c r="D6" i="60"/>
  <c r="D2" i="60"/>
  <c r="D7" i="60" l="1"/>
  <c r="D16" i="60"/>
  <c r="F289" i="15"/>
  <c r="D283" i="15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1" i="18"/>
  <c r="D21" i="60" l="1"/>
  <c r="D282" i="15"/>
  <c r="F283" i="15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P111" i="52" l="1"/>
  <c r="P110" i="52"/>
  <c r="P106" i="52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89" i="18"/>
  <c r="J90" i="52"/>
  <c r="J95" i="52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3" i="18"/>
  <c r="O142" i="18"/>
  <c r="O141" i="18"/>
  <c r="AM230" i="18" l="1"/>
  <c r="AL229" i="18"/>
  <c r="P97" i="52"/>
  <c r="P98" i="52"/>
  <c r="P95" i="52"/>
  <c r="P96" i="52"/>
  <c r="P94" i="52"/>
  <c r="P93" i="52"/>
  <c r="O145" i="18"/>
  <c r="N91" i="52"/>
  <c r="P92" i="52" s="1"/>
  <c r="AL228" i="18" l="1"/>
  <c r="AM228" i="18" s="1"/>
  <c r="AM229" i="18"/>
  <c r="R250" i="18"/>
  <c r="T273" i="18" s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37" i="18" l="1"/>
  <c r="J137" i="18" s="1"/>
  <c r="J136" i="18"/>
  <c r="G135" i="18"/>
  <c r="J135" i="18" s="1"/>
  <c r="G134" i="18"/>
  <c r="J134" i="18" s="1"/>
  <c r="J138" i="18" l="1"/>
  <c r="W245" i="18"/>
  <c r="O90" i="52" l="1"/>
  <c r="O91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50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5" i="18" l="1"/>
  <c r="O74" i="18"/>
  <c r="O73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27" i="18"/>
  <c r="J127" i="18" s="1"/>
  <c r="G126" i="18"/>
  <c r="J126" i="18" s="1"/>
  <c r="G125" i="18"/>
  <c r="J125" i="18" s="1"/>
  <c r="G124" i="18"/>
  <c r="J124" i="18" s="1"/>
  <c r="J128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24" i="18" l="1"/>
  <c r="W223" i="18"/>
  <c r="N30" i="52"/>
  <c r="N29" i="52"/>
  <c r="AD27" i="52"/>
  <c r="Z27" i="52"/>
  <c r="AE27" i="52"/>
  <c r="W222" i="18" l="1"/>
  <c r="W221" i="18"/>
  <c r="N28" i="52"/>
  <c r="N27" i="52"/>
  <c r="AD26" i="52" l="1"/>
  <c r="AE26" i="52"/>
  <c r="N40" i="18"/>
  <c r="AL227" i="18" l="1"/>
  <c r="D313" i="20"/>
  <c r="AL226" i="18" l="1"/>
  <c r="AM227" i="18"/>
  <c r="L117" i="18"/>
  <c r="L114" i="18" s="1"/>
  <c r="AM226" i="18" l="1"/>
  <c r="AL225" i="18"/>
  <c r="L113" i="18"/>
  <c r="M117" i="18"/>
  <c r="L107" i="18"/>
  <c r="W220" i="18"/>
  <c r="W219" i="18"/>
  <c r="N24" i="52"/>
  <c r="N26" i="52"/>
  <c r="N25" i="52"/>
  <c r="AL224" i="18" l="1"/>
  <c r="AM225" i="18"/>
  <c r="N66" i="18"/>
  <c r="K116" i="18"/>
  <c r="L109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9" i="18"/>
  <c r="AM164" i="18"/>
  <c r="AD23" i="52"/>
  <c r="Z23" i="52"/>
  <c r="AE23" i="52"/>
  <c r="Z22" i="52"/>
  <c r="AD22" i="52"/>
  <c r="AE22" i="52"/>
  <c r="N55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2" i="18"/>
  <c r="F112" i="18" s="1"/>
  <c r="G111" i="18"/>
  <c r="F111" i="18" s="1"/>
  <c r="G110" i="18"/>
  <c r="F110" i="18" s="1"/>
  <c r="G109" i="18"/>
  <c r="F109" i="18" s="1"/>
  <c r="G108" i="18"/>
  <c r="F108" i="18" s="1"/>
  <c r="G107" i="18"/>
  <c r="F107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8" i="18"/>
  <c r="L110" i="18"/>
  <c r="L111" i="18"/>
  <c r="L112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3" i="18" s="1"/>
  <c r="N113" i="18" s="1"/>
  <c r="N52" i="18"/>
  <c r="M112" i="18" s="1"/>
  <c r="I350" i="20" l="1"/>
  <c r="J350" i="20"/>
  <c r="K350" i="20"/>
  <c r="G349" i="20"/>
  <c r="N112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1" i="18" s="1"/>
  <c r="K345" i="20" l="1"/>
  <c r="G344" i="20"/>
  <c r="J345" i="20"/>
  <c r="I345" i="20"/>
  <c r="N111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2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94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M114" i="18" s="1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6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4" i="18"/>
  <c r="N125" i="18"/>
  <c r="N126" i="18"/>
  <c r="N127" i="18"/>
  <c r="N128" i="18"/>
  <c r="N129" i="18"/>
  <c r="N130" i="18"/>
  <c r="N131" i="18"/>
  <c r="N12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7" i="18"/>
  <c r="AM120" i="18" l="1"/>
  <c r="AL119" i="18"/>
  <c r="AM119" i="18" l="1"/>
  <c r="AL118" i="18"/>
  <c r="T173" i="18"/>
  <c r="S65" i="18"/>
  <c r="S66" i="18" s="1"/>
  <c r="S67" i="18" s="1"/>
  <c r="R194" i="18"/>
  <c r="R192" i="18"/>
  <c r="D57" i="51"/>
  <c r="AL117" i="18" l="1"/>
  <c r="AM118" i="18"/>
  <c r="S68" i="18"/>
  <c r="S69" i="18" s="1"/>
  <c r="AM117" i="18" l="1"/>
  <c r="AL116" i="18"/>
  <c r="S70" i="18"/>
  <c r="S71" i="18" s="1"/>
  <c r="S72" i="18" s="1"/>
  <c r="S73" i="18" s="1"/>
  <c r="S74" i="18" s="1"/>
  <c r="N33" i="18"/>
  <c r="Q87" i="18" s="1"/>
  <c r="S75" i="18" l="1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0" i="18" s="1"/>
  <c r="N110" i="18" l="1"/>
  <c r="AM112" i="18"/>
  <c r="AL111" i="18"/>
  <c r="D108" i="50"/>
  <c r="AL110" i="18" l="1"/>
  <c r="AM111" i="18"/>
  <c r="N50" i="18"/>
  <c r="AL109" i="18" l="1"/>
  <c r="AM110" i="18"/>
  <c r="N109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2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08" i="18" s="1"/>
  <c r="S46" i="18" l="1"/>
  <c r="S47" i="18" s="1"/>
  <c r="AL99" i="18"/>
  <c r="AM100" i="18"/>
  <c r="N108" i="18"/>
  <c r="AL200" i="18"/>
  <c r="AM201" i="18"/>
  <c r="S48" i="18" l="1"/>
  <c r="S49" i="18" s="1"/>
  <c r="AM99" i="18"/>
  <c r="AL98" i="18"/>
  <c r="AL199" i="18"/>
  <c r="AM200" i="18"/>
  <c r="P62" i="18"/>
  <c r="S50" i="18" l="1"/>
  <c r="S51" i="18" s="1"/>
  <c r="S52" i="18" s="1"/>
  <c r="S53" i="18" s="1"/>
  <c r="S54" i="18" s="1"/>
  <c r="S55" i="18" s="1"/>
  <c r="S56" i="18" s="1"/>
  <c r="S57" i="18" s="1"/>
  <c r="S58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60" i="18" s="1"/>
  <c r="AJ254" i="18" l="1"/>
  <c r="AJ255" i="18" s="1"/>
  <c r="R190" i="18"/>
  <c r="AM94" i="18"/>
  <c r="AL93" i="18"/>
  <c r="AL194" i="18"/>
  <c r="AM195" i="18"/>
  <c r="AL92" i="18" l="1"/>
  <c r="AM93" i="18"/>
  <c r="AL193" i="18"/>
  <c r="AM194" i="18"/>
  <c r="S97" i="18"/>
  <c r="S98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9" i="18"/>
  <c r="AL85" i="18" l="1"/>
  <c r="AM86" i="18"/>
  <c r="S100" i="18"/>
  <c r="S101" i="18" s="1"/>
  <c r="S102" i="18" s="1"/>
  <c r="S103" i="18" s="1"/>
  <c r="S104" i="18" s="1"/>
  <c r="S105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6" i="18"/>
  <c r="S107" i="18" s="1"/>
  <c r="S108" i="18" s="1"/>
  <c r="S109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10" i="18" l="1"/>
  <c r="AL77" i="18"/>
  <c r="AM78" i="18"/>
  <c r="N62" i="18"/>
  <c r="G307" i="20" l="1"/>
  <c r="K308" i="20"/>
  <c r="J308" i="20"/>
  <c r="I308" i="20"/>
  <c r="S111" i="18"/>
  <c r="S112" i="18" s="1"/>
  <c r="S113" i="18" s="1"/>
  <c r="S114" i="18" s="1"/>
  <c r="S115" i="18" s="1"/>
  <c r="AL76" i="18"/>
  <c r="AM77" i="18"/>
  <c r="G306" i="20" l="1"/>
  <c r="J307" i="20"/>
  <c r="I307" i="20"/>
  <c r="K307" i="20"/>
  <c r="S116" i="18"/>
  <c r="S117" i="18" s="1"/>
  <c r="S118" i="18" s="1"/>
  <c r="AL75" i="18"/>
  <c r="AM76" i="18"/>
  <c r="N56" i="18"/>
  <c r="Q165" i="18" s="1"/>
  <c r="M107" i="18" l="1"/>
  <c r="N107" i="18" s="1"/>
  <c r="N117" i="18" s="1"/>
  <c r="AJ171" i="18"/>
  <c r="AJ172" i="18" s="1"/>
  <c r="R189" i="18"/>
  <c r="R199" i="18" s="1"/>
  <c r="T260" i="18" s="1"/>
  <c r="S119" i="18"/>
  <c r="S120" i="18" s="1"/>
  <c r="S121" i="18" s="1"/>
  <c r="S122" i="18" s="1"/>
  <c r="S123" i="18" s="1"/>
  <c r="S124" i="18" s="1"/>
  <c r="S125" i="18" s="1"/>
  <c r="S126" i="18" s="1"/>
  <c r="G305" i="20"/>
  <c r="I306" i="20"/>
  <c r="K306" i="20"/>
  <c r="J306" i="20"/>
  <c r="AL74" i="18"/>
  <c r="AM75" i="18"/>
  <c r="S127" i="18" l="1"/>
  <c r="S128" i="18" s="1"/>
  <c r="V263" i="18"/>
  <c r="S178" i="18"/>
  <c r="U273" i="18"/>
  <c r="G304" i="20"/>
  <c r="I305" i="20"/>
  <c r="K305" i="20"/>
  <c r="J305" i="20"/>
  <c r="AL73" i="18"/>
  <c r="AM74" i="18"/>
  <c r="N88" i="18"/>
  <c r="V58" i="18" s="1"/>
  <c r="S129" i="18" l="1"/>
  <c r="S130" i="18" s="1"/>
  <c r="W58" i="18"/>
  <c r="X58" i="18"/>
  <c r="V57" i="18"/>
  <c r="V56" i="18"/>
  <c r="V55" i="18"/>
  <c r="W55" i="18" s="1"/>
  <c r="V85" i="18"/>
  <c r="V84" i="18"/>
  <c r="V54" i="18"/>
  <c r="V53" i="18"/>
  <c r="W53" i="18" s="1"/>
  <c r="V83" i="18"/>
  <c r="V52" i="18"/>
  <c r="X52" i="18" s="1"/>
  <c r="V82" i="18"/>
  <c r="V78" i="18"/>
  <c r="V81" i="18"/>
  <c r="V79" i="18"/>
  <c r="V80" i="18"/>
  <c r="U178" i="18"/>
  <c r="V178" i="18" s="1"/>
  <c r="V77" i="18"/>
  <c r="X77" i="18" s="1"/>
  <c r="V51" i="18"/>
  <c r="V50" i="18"/>
  <c r="X50" i="18" s="1"/>
  <c r="V76" i="18"/>
  <c r="V75" i="18"/>
  <c r="V49" i="18"/>
  <c r="V48" i="18"/>
  <c r="V74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V33" i="18"/>
  <c r="W33" i="18" s="1"/>
  <c r="V34" i="18"/>
  <c r="V35" i="18"/>
  <c r="V59" i="18"/>
  <c r="V36" i="18"/>
  <c r="V32" i="18"/>
  <c r="X32" i="18" s="1"/>
  <c r="V73" i="18"/>
  <c r="G303" i="20"/>
  <c r="K304" i="20"/>
  <c r="I304" i="20"/>
  <c r="J304" i="20"/>
  <c r="V273" i="18"/>
  <c r="V31" i="18"/>
  <c r="W31" i="18" s="1"/>
  <c r="V72" i="18"/>
  <c r="V127" i="18"/>
  <c r="W127" i="18" s="1"/>
  <c r="V128" i="18"/>
  <c r="V126" i="18"/>
  <c r="V30" i="18"/>
  <c r="W30" i="18" s="1"/>
  <c r="V71" i="18"/>
  <c r="V124" i="18"/>
  <c r="V125" i="18"/>
  <c r="V122" i="18"/>
  <c r="V121" i="18"/>
  <c r="V120" i="18"/>
  <c r="V119" i="18"/>
  <c r="V117" i="18"/>
  <c r="V118" i="18"/>
  <c r="V123" i="18"/>
  <c r="V164" i="18"/>
  <c r="V115" i="18"/>
  <c r="W115" i="18" s="1"/>
  <c r="V116" i="18"/>
  <c r="V29" i="18"/>
  <c r="W29" i="18" s="1"/>
  <c r="V70" i="18"/>
  <c r="V113" i="18"/>
  <c r="W113" i="18" s="1"/>
  <c r="V114" i="18"/>
  <c r="V110" i="18"/>
  <c r="W110" i="18" s="1"/>
  <c r="V112" i="18"/>
  <c r="V111" i="18"/>
  <c r="V109" i="18"/>
  <c r="W109" i="18" s="1"/>
  <c r="V108" i="18"/>
  <c r="V28" i="18"/>
  <c r="V27" i="18"/>
  <c r="W27" i="18" s="1"/>
  <c r="V69" i="18"/>
  <c r="V26" i="18"/>
  <c r="X26" i="18" s="1"/>
  <c r="V68" i="18"/>
  <c r="V86" i="18"/>
  <c r="V67" i="18"/>
  <c r="V107" i="18"/>
  <c r="V66" i="18"/>
  <c r="V106" i="18"/>
  <c r="V25" i="18"/>
  <c r="V105" i="18"/>
  <c r="V24" i="18"/>
  <c r="V22" i="18"/>
  <c r="V23" i="18"/>
  <c r="W23" i="18" s="1"/>
  <c r="V104" i="18"/>
  <c r="V103" i="18"/>
  <c r="V102" i="18"/>
  <c r="V21" i="18"/>
  <c r="V101" i="18"/>
  <c r="V100" i="18"/>
  <c r="V98" i="18"/>
  <c r="V99" i="18"/>
  <c r="V95" i="18"/>
  <c r="V20" i="18"/>
  <c r="V96" i="18"/>
  <c r="V97" i="18"/>
  <c r="AL72" i="18"/>
  <c r="AM73" i="18"/>
  <c r="V129" i="18" l="1"/>
  <c r="S131" i="18"/>
  <c r="V130" i="18"/>
  <c r="W56" i="18"/>
  <c r="X56" i="18"/>
  <c r="W57" i="18"/>
  <c r="X57" i="18"/>
  <c r="X55" i="18"/>
  <c r="W85" i="18"/>
  <c r="X85" i="18"/>
  <c r="W84" i="18"/>
  <c r="X84" i="18"/>
  <c r="W54" i="18"/>
  <c r="X54" i="18"/>
  <c r="X53" i="18"/>
  <c r="W83" i="18"/>
  <c r="X83" i="18"/>
  <c r="W52" i="18"/>
  <c r="W82" i="18"/>
  <c r="X82" i="18"/>
  <c r="W79" i="18"/>
  <c r="X79" i="18"/>
  <c r="W81" i="18"/>
  <c r="X81" i="18"/>
  <c r="W80" i="18"/>
  <c r="X80" i="18"/>
  <c r="W78" i="18"/>
  <c r="X78" i="18"/>
  <c r="W77" i="18"/>
  <c r="W51" i="18"/>
  <c r="X51" i="18"/>
  <c r="W50" i="18"/>
  <c r="X76" i="18"/>
  <c r="W76" i="18"/>
  <c r="W75" i="18"/>
  <c r="X75" i="18"/>
  <c r="X48" i="18"/>
  <c r="W48" i="18"/>
  <c r="W49" i="18"/>
  <c r="X49" i="18"/>
  <c r="W74" i="18"/>
  <c r="X74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X33" i="18"/>
  <c r="W59" i="18"/>
  <c r="X59" i="18"/>
  <c r="W34" i="18"/>
  <c r="X34" i="18"/>
  <c r="W35" i="18"/>
  <c r="X35" i="18"/>
  <c r="X36" i="18"/>
  <c r="W36" i="18"/>
  <c r="W32" i="18"/>
  <c r="X73" i="18"/>
  <c r="W73" i="18"/>
  <c r="S177" i="18"/>
  <c r="G302" i="20"/>
  <c r="K303" i="20"/>
  <c r="I303" i="20"/>
  <c r="J303" i="20"/>
  <c r="X31" i="18"/>
  <c r="W72" i="18"/>
  <c r="X72" i="18"/>
  <c r="X127" i="18"/>
  <c r="W129" i="18"/>
  <c r="X129" i="18"/>
  <c r="W130" i="18"/>
  <c r="X130" i="18"/>
  <c r="W128" i="18"/>
  <c r="X128" i="18"/>
  <c r="X30" i="18"/>
  <c r="W126" i="18"/>
  <c r="X126" i="18"/>
  <c r="W71" i="18"/>
  <c r="X71" i="18"/>
  <c r="W125" i="18"/>
  <c r="X125" i="18"/>
  <c r="W124" i="18"/>
  <c r="X124" i="18"/>
  <c r="X121" i="18"/>
  <c r="W121" i="18"/>
  <c r="W122" i="18"/>
  <c r="X122" i="18"/>
  <c r="W119" i="18"/>
  <c r="X119" i="18"/>
  <c r="W120" i="18"/>
  <c r="X120" i="18"/>
  <c r="W164" i="18"/>
  <c r="X164" i="18"/>
  <c r="W118" i="18"/>
  <c r="X118" i="18"/>
  <c r="X123" i="18"/>
  <c r="W123" i="18"/>
  <c r="W117" i="18"/>
  <c r="X117" i="18"/>
  <c r="X115" i="18"/>
  <c r="W116" i="18"/>
  <c r="X116" i="18"/>
  <c r="X29" i="18"/>
  <c r="W70" i="18"/>
  <c r="X70" i="18"/>
  <c r="X113" i="18"/>
  <c r="W114" i="18"/>
  <c r="X114" i="18"/>
  <c r="X110" i="18"/>
  <c r="W111" i="18"/>
  <c r="X111" i="18"/>
  <c r="W112" i="18"/>
  <c r="X112" i="18"/>
  <c r="X109" i="18"/>
  <c r="W108" i="18"/>
  <c r="X108" i="18"/>
  <c r="W28" i="18"/>
  <c r="X28" i="18"/>
  <c r="X27" i="18"/>
  <c r="W69" i="18"/>
  <c r="X69" i="18"/>
  <c r="W26" i="18"/>
  <c r="W68" i="18"/>
  <c r="X68" i="18"/>
  <c r="W67" i="18"/>
  <c r="X67" i="18"/>
  <c r="W86" i="18"/>
  <c r="X86" i="18"/>
  <c r="S176" i="18"/>
  <c r="S175" i="18"/>
  <c r="U175" i="18" s="1"/>
  <c r="W107" i="18"/>
  <c r="X107" i="18"/>
  <c r="X66" i="18"/>
  <c r="W66" i="18"/>
  <c r="W100" i="18"/>
  <c r="X100" i="18"/>
  <c r="W102" i="18"/>
  <c r="X102" i="18"/>
  <c r="W105" i="18"/>
  <c r="X105" i="18"/>
  <c r="W97" i="18"/>
  <c r="X97" i="18"/>
  <c r="W103" i="18"/>
  <c r="X103" i="18"/>
  <c r="X23" i="18"/>
  <c r="W25" i="18"/>
  <c r="X25" i="18"/>
  <c r="W20" i="18"/>
  <c r="X20" i="18"/>
  <c r="W99" i="18"/>
  <c r="X99" i="18"/>
  <c r="W22" i="18"/>
  <c r="X22" i="18"/>
  <c r="X106" i="18"/>
  <c r="W106" i="18"/>
  <c r="W96" i="18"/>
  <c r="X96" i="18"/>
  <c r="W95" i="18"/>
  <c r="X95" i="18"/>
  <c r="W101" i="18"/>
  <c r="X101" i="18"/>
  <c r="W98" i="18"/>
  <c r="X98" i="18"/>
  <c r="X21" i="18"/>
  <c r="W21" i="18"/>
  <c r="W104" i="18"/>
  <c r="X104" i="18"/>
  <c r="W24" i="18"/>
  <c r="X24" i="18"/>
  <c r="AL71" i="18"/>
  <c r="AM72" i="18"/>
  <c r="S132" i="18" l="1"/>
  <c r="V131" i="18"/>
  <c r="U177" i="18"/>
  <c r="V177" i="18" s="1"/>
  <c r="N36" i="18"/>
  <c r="L21" i="18" s="1"/>
  <c r="U176" i="18"/>
  <c r="V176" i="18" s="1"/>
  <c r="N65" i="18"/>
  <c r="G301" i="20"/>
  <c r="I302" i="20"/>
  <c r="K302" i="20"/>
  <c r="J302" i="20"/>
  <c r="AL70" i="18"/>
  <c r="AM71" i="18"/>
  <c r="X131" i="18" l="1"/>
  <c r="W131" i="18"/>
  <c r="V132" i="18"/>
  <c r="S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34" i="18" l="1"/>
  <c r="V133" i="18"/>
  <c r="W132" i="18"/>
  <c r="X132" i="18"/>
  <c r="G299" i="20"/>
  <c r="I300" i="20"/>
  <c r="K300" i="20"/>
  <c r="J300" i="20"/>
  <c r="AL68" i="18"/>
  <c r="AM69" i="18"/>
  <c r="N2" i="33"/>
  <c r="X133" i="18" l="1"/>
  <c r="W133" i="18"/>
  <c r="V134" i="18"/>
  <c r="S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35" i="18" l="1"/>
  <c r="S136" i="18"/>
  <c r="W134" i="18"/>
  <c r="X134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36" i="18" l="1"/>
  <c r="S137" i="18"/>
  <c r="X135" i="18"/>
  <c r="W135" i="18"/>
  <c r="G61" i="14"/>
  <c r="E60" i="14"/>
  <c r="I297" i="20"/>
  <c r="K297" i="20"/>
  <c r="J297" i="20"/>
  <c r="G296" i="20"/>
  <c r="AL65" i="18"/>
  <c r="AM66" i="18"/>
  <c r="S138" i="18" l="1"/>
  <c r="V137" i="18"/>
  <c r="W136" i="18"/>
  <c r="X136" i="18"/>
  <c r="E59" i="14"/>
  <c r="G60" i="14"/>
  <c r="G295" i="20"/>
  <c r="K296" i="20"/>
  <c r="I296" i="20"/>
  <c r="J296" i="20"/>
  <c r="AL64" i="18"/>
  <c r="AM65" i="18"/>
  <c r="W137" i="18" l="1"/>
  <c r="X137" i="18"/>
  <c r="S139" i="18"/>
  <c r="V138" i="18"/>
  <c r="E58" i="14"/>
  <c r="G59" i="14"/>
  <c r="G294" i="20"/>
  <c r="K295" i="20"/>
  <c r="J295" i="20"/>
  <c r="I295" i="20"/>
  <c r="AM64" i="18"/>
  <c r="AL63" i="18"/>
  <c r="X138" i="18" l="1"/>
  <c r="W138" i="18"/>
  <c r="S140" i="18"/>
  <c r="V139" i="18"/>
  <c r="G58" i="14"/>
  <c r="E57" i="14"/>
  <c r="G293" i="20"/>
  <c r="I294" i="20"/>
  <c r="J294" i="20"/>
  <c r="K294" i="20"/>
  <c r="AL62" i="18"/>
  <c r="AM63" i="18"/>
  <c r="X139" i="18" l="1"/>
  <c r="W139" i="18"/>
  <c r="S141" i="18"/>
  <c r="V140" i="18"/>
  <c r="G57" i="14"/>
  <c r="E56" i="14"/>
  <c r="G292" i="20"/>
  <c r="K293" i="20"/>
  <c r="J293" i="20"/>
  <c r="I293" i="20"/>
  <c r="AL61" i="18"/>
  <c r="AM62" i="18"/>
  <c r="X140" i="18" l="1"/>
  <c r="W140" i="18"/>
  <c r="S142" i="18"/>
  <c r="V141" i="18"/>
  <c r="E55" i="14"/>
  <c r="G56" i="14"/>
  <c r="J292" i="20"/>
  <c r="I292" i="20"/>
  <c r="G291" i="20"/>
  <c r="K292" i="20"/>
  <c r="AM61" i="18"/>
  <c r="AL60" i="18"/>
  <c r="X141" i="18" l="1"/>
  <c r="W141" i="18"/>
  <c r="V142" i="18"/>
  <c r="S143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43" i="18" l="1"/>
  <c r="S144" i="18"/>
  <c r="V144" i="18" s="1"/>
  <c r="W144" i="18" s="1"/>
  <c r="W143" i="18"/>
  <c r="X143" i="18"/>
  <c r="W142" i="18"/>
  <c r="X142" i="18"/>
  <c r="E53" i="14"/>
  <c r="G54" i="14"/>
  <c r="J290" i="20"/>
  <c r="G289" i="20"/>
  <c r="I290" i="20"/>
  <c r="K290" i="20"/>
  <c r="AM59" i="18"/>
  <c r="AL58" i="18"/>
  <c r="S145" i="18" l="1"/>
  <c r="G53" i="14"/>
  <c r="E52" i="14"/>
  <c r="X144" i="18"/>
  <c r="S146" i="18"/>
  <c r="V145" i="18"/>
  <c r="G288" i="20"/>
  <c r="K289" i="20"/>
  <c r="J289" i="20"/>
  <c r="I289" i="20"/>
  <c r="AL57" i="18"/>
  <c r="AM58" i="18"/>
  <c r="S147" i="18" l="1"/>
  <c r="S148" i="18" s="1"/>
  <c r="S149" i="18" s="1"/>
  <c r="S150" i="18" s="1"/>
  <c r="E51" i="14"/>
  <c r="G52" i="14"/>
  <c r="W145" i="18"/>
  <c r="X145" i="18"/>
  <c r="V146" i="18"/>
  <c r="J288" i="20"/>
  <c r="K288" i="20"/>
  <c r="G287" i="20"/>
  <c r="I288" i="20"/>
  <c r="AL56" i="18"/>
  <c r="AM57" i="18"/>
  <c r="B105" i="13"/>
  <c r="B196" i="13" s="1"/>
  <c r="V147" i="18" l="1"/>
  <c r="G51" i="14"/>
  <c r="E50" i="14"/>
  <c r="W147" i="18"/>
  <c r="X147" i="18"/>
  <c r="W146" i="18"/>
  <c r="X146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G285" i="20"/>
  <c r="J286" i="20"/>
  <c r="I286" i="20"/>
  <c r="K286" i="20"/>
  <c r="AM55" i="18"/>
  <c r="AL54" i="18"/>
  <c r="G49" i="14" l="1"/>
  <c r="E48" i="14"/>
  <c r="V148" i="18"/>
  <c r="G284" i="20"/>
  <c r="K285" i="20"/>
  <c r="J285" i="20"/>
  <c r="I285" i="20"/>
  <c r="AL53" i="18"/>
  <c r="AM54" i="18"/>
  <c r="G48" i="14" l="1"/>
  <c r="E47" i="14"/>
  <c r="W148" i="18"/>
  <c r="X148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49" i="18"/>
  <c r="K280" i="20"/>
  <c r="G279" i="20"/>
  <c r="J280" i="20"/>
  <c r="I280" i="20"/>
  <c r="AL48" i="18"/>
  <c r="AM49" i="18"/>
  <c r="E248" i="15"/>
  <c r="G43" i="14" l="1"/>
  <c r="E42" i="14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1" i="18"/>
  <c r="S152" i="18" s="1"/>
  <c r="S153" i="18" s="1"/>
  <c r="V150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1" i="18"/>
  <c r="X151" i="18" s="1"/>
  <c r="W150" i="18"/>
  <c r="X150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1" i="18"/>
  <c r="G272" i="20"/>
  <c r="J273" i="20"/>
  <c r="K273" i="20"/>
  <c r="I273" i="20"/>
  <c r="AL41" i="18"/>
  <c r="AM42" i="18"/>
  <c r="G36" i="14" l="1"/>
  <c r="E35" i="14"/>
  <c r="V152" i="18"/>
  <c r="W152" i="18" s="1"/>
  <c r="J272" i="20"/>
  <c r="K272" i="20"/>
  <c r="I272" i="20"/>
  <c r="G271" i="20"/>
  <c r="AM41" i="18"/>
  <c r="AL40" i="18"/>
  <c r="G35" i="14" l="1"/>
  <c r="E34" i="14"/>
  <c r="X152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54" i="18"/>
  <c r="S155" i="18" s="1"/>
  <c r="S156" i="18" s="1"/>
  <c r="V153" i="18"/>
  <c r="I269" i="20"/>
  <c r="K269" i="20"/>
  <c r="J269" i="20"/>
  <c r="G268" i="20"/>
  <c r="AL37" i="18"/>
  <c r="AM38" i="18"/>
  <c r="J57" i="33"/>
  <c r="J55" i="33"/>
  <c r="J54" i="33"/>
  <c r="G32" i="14" l="1"/>
  <c r="E31" i="14"/>
  <c r="W153" i="18"/>
  <c r="X153" i="18"/>
  <c r="V154" i="18"/>
  <c r="J268" i="20"/>
  <c r="I268" i="20"/>
  <c r="G267" i="20"/>
  <c r="K268" i="20"/>
  <c r="AL36" i="18"/>
  <c r="AM37" i="18"/>
  <c r="L57" i="33"/>
  <c r="E241" i="15"/>
  <c r="G31" i="14" l="1"/>
  <c r="E30" i="14"/>
  <c r="W154" i="18"/>
  <c r="X154" i="18"/>
  <c r="I267" i="20"/>
  <c r="K267" i="20"/>
  <c r="G266" i="20"/>
  <c r="J267" i="20"/>
  <c r="AM36" i="18"/>
  <c r="AL35" i="18"/>
  <c r="D168" i="20"/>
  <c r="E29" i="14" l="1"/>
  <c r="G30" i="14"/>
  <c r="V155" i="18"/>
  <c r="W155" i="18" s="1"/>
  <c r="J266" i="20"/>
  <c r="G265" i="20"/>
  <c r="K266" i="20"/>
  <c r="I266" i="20"/>
  <c r="AL34" i="18"/>
  <c r="AM35" i="18"/>
  <c r="E240" i="15"/>
  <c r="E239" i="15"/>
  <c r="X155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56" i="18" l="1"/>
  <c r="W156" i="18" s="1"/>
  <c r="S157" i="18"/>
  <c r="S158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56" i="18" l="1"/>
  <c r="V157" i="18"/>
  <c r="X157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57" i="18" l="1"/>
  <c r="E24" i="14"/>
  <c r="G25" i="14"/>
  <c r="J261" i="20"/>
  <c r="I261" i="20"/>
  <c r="K261" i="20"/>
  <c r="G260" i="20"/>
  <c r="D255" i="15"/>
  <c r="F256" i="15"/>
  <c r="AL29" i="18"/>
  <c r="AM30" i="18"/>
  <c r="V158" i="18" l="1"/>
  <c r="X158" i="18" s="1"/>
  <c r="S159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59" i="18" l="1"/>
  <c r="W159" i="18" s="1"/>
  <c r="S160" i="18"/>
  <c r="W158" i="18"/>
  <c r="X159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60" i="18" l="1"/>
  <c r="W160" i="18" s="1"/>
  <c r="S161" i="18"/>
  <c r="V161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60" i="18" l="1"/>
  <c r="W161" i="18"/>
  <c r="X161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579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39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04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19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04" i="41"/>
  <c r="N1951" i="41"/>
  <c r="N1959" i="41"/>
  <c r="N2015" i="41"/>
  <c r="N2016" i="41"/>
  <c r="N2023" i="41"/>
  <c r="N2050" i="41"/>
  <c r="N2055" i="41"/>
  <c r="N2056" i="41"/>
  <c r="N2071" i="41"/>
  <c r="N2080" i="41"/>
  <c r="N2103" i="41"/>
  <c r="N2146" i="41"/>
  <c r="N2151" i="41"/>
  <c r="N2160" i="41"/>
  <c r="N2168" i="41"/>
  <c r="N2175" i="41"/>
  <c r="N2216" i="41"/>
  <c r="N2255" i="41"/>
  <c r="N2266" i="41"/>
  <c r="N2271" i="41"/>
  <c r="N2288" i="41"/>
  <c r="N2295" i="41"/>
  <c r="N2311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N972" i="41"/>
  <c r="L762" i="4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8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9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8" i="18" l="1"/>
  <c r="F24" i="18" s="1"/>
  <c r="G113" i="20"/>
  <c r="J114" i="20"/>
  <c r="I114" i="20"/>
  <c r="K114" i="20"/>
  <c r="L69" i="18"/>
  <c r="E33" i="13"/>
  <c r="G34" i="13"/>
  <c r="F108" i="15"/>
  <c r="C20" i="18"/>
  <c r="G20" i="14"/>
  <c r="G21" i="14"/>
  <c r="G112" i="20" l="1"/>
  <c r="K113" i="20"/>
  <c r="J113" i="20"/>
  <c r="I113" i="20"/>
  <c r="L70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94" i="15"/>
  <c r="F297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<sst xmlns="http://schemas.openxmlformats.org/spreadsheetml/2006/main" count="11826" uniqueCount="5074">
  <si>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</si>
  <si>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</si>
  <si>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</si>
  <si>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</si>
  <si>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</si>
  <si>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</si>
  <si>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</si>
  <si>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</si>
  <si>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</si>
  <si>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</si>
  <si>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</si>
  <si>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</si>
  <si>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</si>
  <si>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</si>
  <si>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</si>
  <si>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</si>
  <si>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</si>
  <si>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</si>
  <si>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</si>
  <si>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</si>
  <si>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</si>
  <si>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</si>
  <si>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</si>
  <si>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</si>
  <si>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</si>
  <si>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</si>
  <si>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</si>
  <si>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</si>
  <si>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</si>
  <si>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</si>
  <si>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</si>
  <si>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</si>
  <si>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</si>
  <si>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</si>
  <si>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</si>
  <si>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</si>
  <si>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</si>
  <si>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</si>
  <si>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</si>
  <si>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</si>
  <si>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</si>
  <si>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</si>
  <si>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</si>
  <si>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</si>
  <si>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</si>
  <si>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</si>
  <si>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</si>
  <si>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</si>
  <si>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</si>
  <si>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</si>
  <si>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</si>
  <si>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</si>
  <si>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</si>
  <si>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</si>
  <si>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</si>
  <si>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</si>
  <si>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</si>
  <si>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</si>
  <si>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</si>
  <si>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</si>
  <si>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</si>
  <si>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</si>
  <si>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</si>
  <si>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</si>
  <si>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</si>
  <si>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</si>
  <si>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</si>
  <si>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</si>
  <si>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</si>
  <si>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</si>
  <si>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</si>
  <si>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</si>
  <si>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</si>
  <si>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</si>
  <si>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</si>
  <si>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</si>
  <si>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</si>
  <si>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</si>
  <si>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</si>
  <si>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</si>
  <si>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</si>
  <si>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</si>
  <si>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</si>
  <si>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</si>
  <si>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</si>
  <si>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</si>
  <si>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</si>
  <si>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</si>
  <si>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</si>
  <si>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</si>
  <si>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</si>
  <si>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</si>
  <si>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</si>
  <si>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</si>
  <si>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</si>
  <si>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</si>
  <si>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</si>
  <si>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</si>
  <si>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</si>
  <si>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</si>
  <si>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</si>
  <si>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</si>
  <si>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</si>
  <si>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</si>
  <si>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</si>
  <si>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</si>
  <si>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</si>
  <si>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</si>
  <si>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</si>
  <si>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</si>
  <si>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</si>
  <si>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</si>
  <si>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</si>
  <si>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</si>
  <si>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</si>
  <si>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</si>
  <si>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</si>
  <si>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</si>
  <si>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</si>
  <si>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</si>
  <si>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</si>
  <si>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</si>
  <si>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</si>
  <si>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</si>
  <si>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</si>
  <si>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</si>
  <si>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</si>
  <si>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</si>
  <si>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</si>
  <si>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</si>
  <si>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</si>
  <si>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</si>
  <si>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</si>
  <si>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</si>
  <si>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</si>
  <si>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</si>
  <si>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</si>
  <si>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</si>
  <si>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</si>
  <si>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</si>
  <si>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</si>
  <si>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</si>
  <si>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</si>
  <si>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</si>
  <si>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</si>
  <si>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</si>
  <si>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</si>
  <si>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</si>
  <si>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</si>
  <si>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</si>
  <si>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</si>
  <si>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</si>
  <si>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</si>
  <si>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</si>
  <si>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</si>
  <si>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</si>
  <si>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</si>
  <si>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</si>
  <si>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</si>
  <si>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</si>
  <si>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</si>
  <si>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</si>
  <si>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</si>
  <si>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</si>
  <si>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</si>
  <si>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</si>
  <si>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</si>
  <si>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</si>
  <si>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</si>
  <si>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</si>
  <si>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</si>
  <si>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</si>
  <si>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</si>
  <si>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</si>
  <si>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</si>
  <si>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</si>
  <si>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</si>
  <si>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</si>
  <si>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</si>
  <si>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</si>
  <si>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</si>
  <si>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</si>
  <si>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</si>
  <si>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</si>
  <si>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</si>
  <si>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</si>
  <si>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</si>
  <si>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</si>
  <si>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</si>
  <si>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</si>
  <si>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</si>
  <si>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</si>
  <si>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</si>
  <si>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</si>
  <si>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</si>
  <si>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</si>
  <si>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</si>
  <si>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</si>
  <si>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</si>
  <si>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</si>
  <si>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</si>
  <si>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</si>
  <si>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</si>
  <si>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</si>
  <si>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</si>
  <si>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</si>
  <si>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</si>
  <si>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</si>
  <si>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</si>
  <si>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</si>
  <si>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</si>
  <si>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</si>
  <si>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</si>
  <si>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</si>
  <si>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</si>
  <si>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</si>
  <si>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</si>
  <si>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</si>
  <si>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</si>
  <si>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</si>
  <si>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</si>
  <si>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</si>
  <si>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</si>
  <si>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</si>
  <si>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</si>
  <si>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</si>
  <si>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</si>
  <si>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</si>
  <si>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</si>
  <si>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</si>
  <si>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</si>
  <si>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</si>
  <si>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</si>
  <si>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</si>
  <si>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</si>
  <si>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</si>
  <si>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</si>
  <si>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</si>
  <si>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</si>
  <si>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</si>
  <si>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</si>
  <si>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</si>
  <si>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</si>
  <si>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</si>
  <si>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</si>
  <si>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</si>
  <si>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</si>
  <si>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</si>
  <si>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</si>
  <si>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</si>
  <si>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</si>
  <si>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</si>
  <si>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</si>
  <si>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</si>
  <si>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</si>
  <si>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</si>
  <si>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</si>
  <si>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</si>
  <si>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</si>
  <si>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</si>
  <si>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</si>
  <si>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</si>
  <si>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</si>
  <si>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</si>
  <si>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</si>
  <si>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</si>
  <si>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</si>
  <si>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</si>
  <si>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</si>
  <si>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</si>
  <si>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</si>
  <si>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</si>
  <si>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</si>
  <si>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</si>
  <si>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</si>
  <si>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</si>
  <si>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</si>
  <si>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</si>
  <si>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</si>
  <si>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</si>
  <si>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</si>
  <si>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</si>
  <si>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</si>
  <si>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</si>
  <si>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</si>
  <si>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</si>
  <si>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</si>
  <si>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</si>
  <si>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</si>
  <si>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</si>
  <si>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</si>
  <si>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</si>
  <si>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</si>
  <si>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</si>
  <si>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</si>
  <si>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</si>
  <si>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</si>
  <si>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</si>
  <si>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</si>
  <si>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</si>
  <si>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</si>
  <si>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</si>
  <si>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</si>
  <si>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</si>
  <si>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</si>
  <si>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</si>
  <si>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</si>
  <si>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</si>
  <si>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</si>
  <si>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</si>
  <si>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</si>
  <si>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</si>
  <si>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</si>
  <si>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</si>
  <si>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</si>
  <si>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</si>
  <si>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</si>
  <si>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</si>
  <si>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</si>
  <si>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</si>
  <si>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</si>
  <si>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</si>
  <si>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</si>
  <si>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</si>
  <si>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</si>
  <si>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</si>
  <si>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</si>
  <si>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</si>
  <si>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</si>
  <si>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</si>
  <si>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</si>
  <si>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</si>
  <si>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</si>
  <si>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</si>
  <si>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</si>
  <si>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</si>
  <si>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</si>
  <si>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</si>
  <si>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</si>
  <si>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</si>
  <si>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</si>
  <si>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</si>
  <si>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</si>
  <si>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</si>
  <si>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</si>
  <si>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</si>
  <si>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</si>
  <si>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</si>
  <si>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</si>
  <si>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</si>
  <si>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</si>
  <si>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</si>
  <si>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</si>
  <si>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</si>
  <si>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</si>
  <si>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</si>
  <si>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</si>
  <si>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</si>
  <si>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</si>
  <si>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</si>
  <si>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</si>
  <si>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</si>
  <si>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</si>
  <si>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</si>
  <si>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</si>
  <si>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</si>
  <si>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</si>
  <si>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</si>
  <si>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</si>
  <si>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</si>
  <si>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</si>
  <si>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</si>
  <si>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</si>
  <si>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</si>
  <si>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</si>
  <si>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</si>
  <si>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</si>
  <si>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</si>
  <si>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</si>
  <si>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</si>
  <si>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</si>
  <si>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</si>
  <si>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</si>
  <si>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</si>
  <si>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</si>
  <si>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</si>
  <si>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</si>
  <si>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</si>
  <si>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</si>
  <si>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</si>
  <si>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</si>
  <si>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</si>
  <si>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</si>
  <si>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</si>
  <si>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</si>
  <si>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</si>
  <si>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</si>
  <si>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</si>
  <si>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</si>
  <si>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</si>
  <si>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</si>
  <si>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</si>
  <si>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</si>
  <si>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</si>
  <si>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</si>
  <si>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</si>
  <si>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</si>
  <si>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</si>
  <si>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</si>
  <si>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</si>
  <si>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</si>
  <si>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</si>
  <si>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</si>
  <si>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</si>
  <si>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</si>
  <si>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</si>
  <si>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</si>
  <si>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</si>
  <si>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</si>
  <si>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</si>
  <si>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</si>
  <si>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</si>
  <si>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</si>
  <si>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</si>
  <si>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</si>
  <si>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</si>
  <si>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</si>
  <si>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</si>
  <si>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</si>
  <si>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</si>
  <si>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</si>
  <si>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</si>
  <si>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</si>
  <si>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</si>
  <si>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</si>
  <si>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</si>
  <si>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</si>
  <si>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</si>
  <si>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</si>
  <si>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</si>
  <si>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</si>
  <si>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</si>
  <si>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</si>
  <si>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</si>
  <si>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</si>
  <si>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</si>
  <si>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</si>
  <si>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</si>
  <si>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</si>
  <si>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</si>
  <si>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</si>
  <si>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</si>
  <si>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</si>
  <si>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</si>
  <si>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</si>
  <si>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</si>
  <si>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</si>
  <si>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</si>
  <si>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</si>
  <si>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</si>
  <si>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</si>
  <si>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</si>
  <si>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</si>
  <si>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</si>
  <si>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</si>
  <si>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</si>
  <si>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</si>
  <si>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</si>
  <si>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</si>
  <si>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</si>
  <si>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</si>
  <si>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</si>
  <si>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</si>
  <si>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</si>
  <si>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</si>
  <si>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</si>
  <si>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</si>
  <si>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</si>
  <si>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</si>
  <si>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</si>
  <si>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</si>
  <si>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</si>
  <si>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</si>
  <si>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</si>
  <si>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</si>
  <si>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</si>
  <si>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</si>
  <si>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</si>
  <si>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</si>
  <si>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</si>
  <si>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</si>
  <si>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</si>
  <si>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</si>
  <si>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</si>
  <si>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</si>
  <si>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</si>
  <si>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</si>
  <si>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</si>
  <si>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</si>
  <si>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</si>
  <si>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</si>
  <si>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</si>
  <si>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</si>
  <si>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</si>
  <si>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</si>
  <si>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</si>
  <si>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</si>
  <si>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</si>
  <si>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</si>
  <si>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</si>
  <si>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</si>
  <si>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</si>
  <si>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</si>
  <si>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</si>
  <si>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</si>
  <si>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</si>
  <si>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</si>
  <si>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</si>
  <si>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</si>
  <si>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</si>
  <si>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</si>
  <si>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</si>
  <si>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</si>
  <si>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</si>
  <si>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</si>
  <si>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</si>
  <si>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</si>
  <si>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</si>
  <si>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</si>
  <si>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</si>
  <si>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</si>
  <si>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</si>
  <si>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</si>
  <si>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</si>
  <si>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</si>
  <si>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</si>
  <si>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</si>
  <si>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</si>
  <si>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</si>
  <si>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</si>
  <si>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</si>
  <si>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</si>
  <si>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</si>
  <si>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</si>
  <si>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</si>
  <si>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</si>
  <si>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</si>
  <si>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</si>
  <si>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</si>
  <si>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</si>
  <si>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</si>
  <si>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</si>
  <si>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</si>
  <si>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</si>
  <si>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</si>
  <si>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</si>
  <si>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</si>
  <si>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</si>
  <si>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</si>
  <si>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</si>
  <si>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</si>
  <si>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</si>
  <si>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</si>
  <si>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</si>
  <si>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</si>
  <si>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</si>
  <si>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</si>
  <si>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</si>
  <si>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</si>
  <si>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</si>
  <si>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</si>
  <si>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</si>
  <si>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</si>
  <si>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</si>
  <si>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</si>
  <si>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</si>
  <si>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</si>
  <si>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</si>
  <si>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</si>
  <si>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</si>
  <si>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</si>
  <si>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</si>
  <si>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</si>
  <si>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</si>
  <si>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</si>
  <si>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</si>
  <si>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</si>
  <si>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</si>
  <si>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</si>
  <si>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</si>
  <si>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</si>
  <si>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</si>
  <si>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</si>
  <si>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</si>
  <si>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</si>
  <si>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</si>
  <si>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</si>
  <si>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</si>
  <si>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</si>
  <si>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</si>
  <si>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</si>
  <si>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</si>
  <si>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</si>
  <si>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</si>
  <si>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</si>
  <si>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</si>
  <si>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</si>
  <si>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</si>
  <si>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</si>
  <si>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</si>
  <si>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</si>
  <si>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</si>
  <si>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</si>
  <si>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</si>
  <si>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</si>
  <si>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</si>
  <si>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</si>
  <si>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</si>
  <si>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</si>
  <si>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</si>
  <si>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</si>
  <si>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</si>
  <si>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</si>
  <si>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</si>
  <si>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</si>
  <si>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</si>
  <si>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</si>
  <si>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</si>
  <si>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</si>
  <si>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</si>
  <si>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</si>
  <si>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</si>
  <si>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</si>
  <si>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</si>
  <si>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</si>
  <si>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</si>
  <si>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</si>
  <si>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</si>
  <si>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</si>
  <si>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</si>
  <si>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</si>
  <si>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</si>
  <si>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</si>
  <si>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</si>
  <si>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</si>
  <si>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</si>
  <si>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</si>
  <si>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</si>
  <si>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</si>
  <si>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</si>
  <si>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</si>
  <si>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</si>
  <si>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</si>
  <si>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</si>
  <si>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</si>
  <si>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</si>
  <si>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</si>
  <si>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</si>
  <si>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</si>
  <si>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</si>
  <si>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</si>
  <si>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</si>
  <si>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</si>
  <si>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</si>
  <si>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</si>
  <si>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</si>
  <si>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</si>
  <si>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</si>
  <si>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</si>
  <si>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</si>
  <si>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</si>
  <si>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</si>
  <si>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</si>
  <si>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</si>
  <si>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</si>
  <si>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</si>
  <si>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</si>
  <si>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</si>
  <si>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</si>
  <si>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</si>
  <si>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</si>
  <si>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</si>
  <si>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</si>
  <si>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</si>
  <si>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</si>
  <si>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</si>
  <si>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</si>
  <si>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</si>
  <si>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</si>
  <si>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</si>
  <si>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</si>
  <si>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</si>
  <si>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</si>
  <si>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</si>
  <si>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</si>
  <si>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</si>
  <si>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</si>
  <si>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</si>
  <si>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</si>
  <si>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</si>
  <si>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</si>
  <si>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</si>
  <si>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</si>
  <si>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</si>
  <si>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</si>
  <si>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</si>
  <si>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</si>
  <si>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</si>
  <si>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</si>
  <si>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</si>
  <si>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</si>
  <si>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</si>
  <si>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</si>
  <si>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</si>
  <si>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</si>
  <si>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</si>
  <si>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</si>
  <si>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</si>
  <si>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</si>
  <si>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</si>
  <si>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</si>
  <si>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</si>
  <si>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</si>
  <si>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</si>
  <si>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</si>
  <si>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</si>
  <si>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</si>
  <si>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</si>
  <si>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</si>
  <si>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</si>
  <si>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</si>
  <si>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</si>
  <si>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</si>
  <si>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</si>
  <si>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</si>
  <si>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</si>
  <si>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</si>
  <si>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</si>
  <si>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</si>
  <si>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</si>
  <si>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</si>
  <si>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</si>
  <si>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</si>
  <si>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</si>
  <si>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</si>
  <si>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</si>
  <si>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</si>
  <si>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</si>
  <si>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</si>
  <si>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</si>
  <si>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</si>
  <si>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</si>
  <si>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</si>
  <si>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</si>
  <si>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</si>
  <si>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</si>
  <si>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</si>
  <si>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</si>
  <si>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</si>
  <si>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</si>
  <si>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</si>
  <si>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</si>
  <si>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</si>
  <si>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</si>
  <si>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</si>
  <si>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</si>
  <si>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</si>
  <si>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</si>
  <si>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</si>
  <si>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</si>
  <si>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</si>
  <si>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</si>
  <si>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</si>
  <si>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</si>
  <si>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</si>
  <si>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</si>
  <si>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</si>
  <si>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</si>
  <si>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</si>
  <si>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</si>
  <si>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</si>
  <si>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</si>
  <si>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</si>
  <si>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</si>
  <si>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</si>
  <si>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</si>
  <si>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</si>
  <si>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</si>
  <si>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</si>
  <si>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</si>
  <si>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</si>
  <si>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</si>
  <si>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</si>
  <si>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</si>
  <si>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</si>
  <si>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</si>
  <si>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</si>
  <si>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</si>
  <si>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</si>
  <si>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</si>
  <si>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</si>
  <si>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</si>
  <si>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</si>
  <si>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</si>
  <si>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</si>
  <si>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</si>
  <si>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</si>
  <si>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</si>
  <si>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</si>
  <si>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</si>
  <si>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</si>
  <si>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</si>
  <si>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</si>
  <si>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</si>
  <si>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</si>
  <si>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</si>
  <si>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</si>
  <si>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</si>
  <si>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</si>
  <si>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</si>
  <si>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</si>
  <si>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</si>
  <si>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</si>
  <si>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</si>
  <si>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</si>
  <si>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</si>
  <si>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</si>
  <si>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</si>
  <si>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</si>
  <si>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</si>
  <si>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</si>
  <si>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</si>
  <si>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</si>
  <si>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</si>
  <si>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</si>
  <si>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</si>
  <si>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</si>
  <si>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</si>
  <si>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</si>
  <si>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</si>
  <si>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</si>
  <si>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</si>
  <si>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</si>
  <si>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</si>
  <si>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</si>
  <si>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</si>
  <si>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</si>
  <si>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</si>
  <si>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</si>
  <si>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</si>
  <si>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</si>
  <si>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</si>
  <si>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</si>
  <si>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</si>
  <si>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</si>
  <si>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</si>
  <si>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</si>
  <si>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</si>
  <si>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</si>
  <si>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</si>
  <si>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</si>
  <si>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</si>
  <si>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</si>
  <si>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</si>
  <si>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</si>
  <si>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</si>
  <si>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</si>
  <si>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</si>
  <si>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</si>
  <si>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</si>
  <si>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</si>
  <si>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</si>
  <si>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</si>
  <si>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</si>
  <si>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</si>
  <si>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</si>
  <si>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</si>
  <si>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</si>
  <si>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</si>
  <si>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</si>
  <si>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</si>
  <si>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</si>
  <si>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</si>
  <si>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</si>
  <si>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</si>
  <si>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</si>
  <si>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</si>
  <si>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</si>
  <si>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</si>
  <si>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</si>
  <si>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</si>
  <si>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</si>
  <si>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</si>
  <si>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</si>
  <si>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</si>
  <si>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</si>
  <si>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</si>
  <si>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</si>
  <si>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</si>
  <si>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</si>
  <si>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</si>
  <si>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</si>
  <si>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</si>
  <si>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</si>
  <si>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</si>
  <si>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</si>
  <si>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</si>
  <si>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</si>
  <si>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</si>
  <si>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</si>
  <si>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</si>
  <si>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</si>
  <si>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</si>
  <si>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</si>
  <si>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</si>
  <si>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</si>
  <si>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</si>
  <si>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</si>
  <si>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</si>
  <si>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</si>
  <si>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</si>
  <si>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</si>
  <si>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</si>
  <si>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</si>
  <si>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</si>
  <si>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</si>
  <si>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</si>
  <si>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</si>
  <si>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</si>
  <si>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</si>
  <si>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</si>
  <si>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</si>
  <si>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</si>
  <si>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</si>
  <si>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</si>
  <si>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</si>
  <si>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</si>
  <si>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</si>
  <si>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</si>
  <si>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</si>
  <si>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</si>
  <si>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</si>
  <si>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</si>
  <si>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</si>
  <si>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</si>
  <si>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</si>
  <si>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</si>
  <si>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</si>
  <si>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</si>
  <si>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</si>
  <si>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</si>
  <si>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</si>
  <si>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</si>
  <si>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</si>
  <si>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</si>
  <si>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</si>
  <si>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</si>
  <si>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</si>
  <si>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</si>
  <si>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</si>
  <si>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</si>
  <si>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</si>
  <si>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</si>
  <si>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</si>
  <si>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</si>
  <si>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</si>
  <si>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</si>
  <si>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</si>
  <si>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</si>
  <si>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</si>
  <si>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</si>
  <si>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</si>
  <si>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</si>
  <si>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</si>
  <si>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</si>
  <si>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</si>
  <si>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</si>
  <si>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</si>
  <si>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</si>
  <si>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</si>
  <si>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</si>
  <si>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</si>
  <si>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</si>
  <si>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</si>
  <si>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</si>
  <si>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</si>
  <si>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</si>
  <si>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</si>
  <si>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</si>
  <si>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</si>
  <si>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</si>
  <si>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</si>
  <si>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</si>
  <si>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</si>
  <si>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</si>
  <si>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</si>
  <si>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</si>
  <si>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</si>
  <si>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</si>
  <si>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</si>
  <si>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</si>
  <si>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</si>
  <si>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</si>
  <si>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</si>
  <si>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</si>
  <si>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</si>
  <si>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</si>
  <si>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</si>
  <si>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</si>
  <si>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</si>
  <si>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</si>
  <si>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</si>
  <si>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</si>
  <si>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</si>
  <si>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</si>
  <si>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</si>
  <si>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</si>
  <si>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</si>
  <si>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</si>
  <si>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</si>
  <si>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</si>
  <si>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</si>
  <si>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</si>
  <si>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</si>
  <si>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</si>
  <si>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</si>
  <si>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</si>
  <si>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</si>
  <si>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</si>
  <si>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</si>
  <si>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</si>
  <si>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</si>
  <si>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</si>
  <si>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</si>
  <si>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</si>
  <si>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</si>
  <si>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</si>
  <si>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</si>
  <si>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</si>
  <si>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</si>
  <si>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</si>
  <si>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</si>
  <si>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</si>
  <si>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</si>
  <si>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</si>
  <si>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</si>
  <si>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</si>
  <si>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</si>
  <si>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</si>
  <si>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</si>
  <si>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</si>
  <si>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</si>
  <si>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</si>
  <si>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</si>
  <si>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</si>
  <si>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</si>
  <si>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</si>
  <si>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</si>
  <si>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</si>
  <si>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</si>
  <si>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</si>
  <si>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</si>
  <si>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</si>
  <si>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</si>
  <si>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</si>
  <si>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</si>
  <si>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</si>
  <si>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</si>
  <si>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</si>
  <si>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</si>
  <si>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</si>
  <si>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</si>
  <si>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</si>
  <si>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</si>
  <si>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</si>
  <si>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</si>
  <si>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</si>
  <si>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</si>
  <si>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</si>
  <si>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</si>
  <si>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</si>
  <si>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</si>
  <si>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</si>
  <si>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</si>
  <si>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</si>
  <si>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</si>
  <si>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</si>
  <si>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</si>
  <si>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</si>
  <si>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</si>
  <si>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</si>
  <si>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</si>
  <si>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</si>
  <si>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</si>
  <si>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</si>
  <si>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</si>
  <si>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</si>
  <si>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</si>
  <si>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</si>
  <si>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</si>
  <si>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</si>
  <si>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</si>
  <si>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</si>
  <si>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</si>
  <si>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</si>
  <si>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</si>
  <si>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</si>
  <si>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</si>
  <si>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</si>
  <si>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</si>
  <si>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</si>
  <si>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</si>
  <si>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</si>
  <si>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</si>
  <si>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</si>
  <si>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</si>
  <si>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</si>
  <si>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</si>
  <si>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</si>
  <si>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</si>
  <si>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</si>
  <si>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</si>
  <si>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</si>
  <si>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</si>
  <si>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</si>
  <si>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</si>
  <si>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</si>
  <si>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</si>
  <si>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</si>
  <si>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</si>
  <si>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</si>
  <si>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</si>
  <si>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</si>
  <si>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</si>
  <si>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</si>
  <si>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</si>
  <si>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</si>
  <si>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</si>
  <si>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</si>
  <si>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</si>
  <si>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</si>
  <si>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</si>
  <si>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</si>
  <si>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</si>
  <si>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</si>
  <si>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</si>
  <si>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</si>
  <si>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</si>
  <si>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</si>
  <si>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</si>
  <si>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</si>
  <si>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</si>
  <si>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</si>
  <si>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</si>
  <si>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</si>
  <si>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</si>
  <si>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</si>
  <si>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</si>
  <si>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</si>
  <si>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</si>
  <si>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</si>
  <si>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</si>
  <si>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</si>
  <si>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</si>
  <si>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</si>
  <si>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</si>
  <si>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</si>
  <si>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</si>
  <si>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</si>
  <si>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</si>
  <si>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</si>
  <si>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</si>
  <si>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</si>
  <si>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</si>
  <si>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</si>
  <si>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</si>
  <si>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</si>
  <si>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</si>
  <si>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</si>
  <si>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</si>
  <si>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</si>
  <si>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</si>
  <si>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</si>
  <si>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</si>
  <si>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</si>
  <si>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</si>
  <si>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</si>
  <si>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</si>
  <si>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</si>
  <si>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</si>
  <si>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</si>
  <si>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</si>
  <si>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</si>
  <si>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</si>
  <si>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</si>
  <si>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</si>
  <si>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</si>
  <si>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</si>
  <si>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</si>
  <si>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</si>
  <si>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</si>
  <si>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</si>
  <si>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</si>
  <si>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</si>
  <si>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</si>
  <si>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</si>
  <si>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</si>
  <si>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</si>
  <si>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</si>
  <si>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</si>
  <si>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</si>
  <si>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</si>
  <si>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</si>
  <si>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</si>
  <si>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</si>
  <si>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</si>
  <si>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</si>
  <si>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</si>
  <si>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</si>
  <si>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</si>
  <si>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</si>
  <si>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</si>
  <si>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</si>
  <si>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</si>
  <si>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</si>
  <si>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</si>
  <si>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</si>
  <si>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</si>
  <si>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</si>
  <si>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</si>
  <si>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</si>
  <si>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</si>
  <si>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</si>
  <si>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</si>
  <si>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</si>
  <si>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</si>
  <si>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</si>
  <si>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</si>
  <si>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</si>
  <si>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</si>
  <si>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</si>
  <si>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</si>
  <si>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</si>
  <si>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</si>
  <si>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</si>
  <si>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</si>
  <si>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</si>
  <si>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</si>
  <si>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</si>
  <si>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</si>
  <si>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</si>
  <si>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</si>
  <si>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</si>
  <si>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</si>
  <si>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</si>
  <si>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</si>
  <si>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</si>
  <si>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</si>
  <si>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</si>
  <si>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</si>
  <si>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</si>
  <si>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</si>
  <si>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</si>
  <si>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</si>
  <si>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</si>
  <si>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</si>
  <si>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</si>
  <si>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</si>
  <si>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</si>
  <si>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</si>
  <si>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</si>
  <si>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</si>
  <si>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</si>
  <si>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</si>
  <si>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</si>
  <si>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</si>
  <si>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</si>
  <si>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</si>
  <si>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</si>
  <si>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</si>
  <si>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</si>
  <si>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</si>
  <si>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</si>
  <si>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</si>
  <si>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</si>
  <si>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</si>
  <si>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</si>
  <si>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</si>
  <si>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</si>
  <si>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</si>
  <si>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</si>
  <si>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</si>
  <si>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</si>
  <si>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</si>
  <si>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</si>
  <si>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</si>
  <si>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</si>
  <si>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</si>
  <si>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</si>
  <si>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</si>
  <si>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</si>
  <si>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</si>
  <si>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</si>
  <si>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</si>
  <si>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</si>
  <si>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</si>
  <si>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</si>
  <si>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</si>
  <si>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</si>
  <si>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</si>
  <si>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</si>
  <si>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</si>
  <si>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</si>
  <si>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</si>
  <si>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</si>
  <si>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</si>
  <si>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</si>
  <si>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</si>
  <si>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</si>
  <si>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</si>
  <si>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</si>
  <si>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</si>
  <si>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</si>
  <si>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</si>
  <si>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</si>
  <si>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</si>
  <si>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</si>
  <si>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</si>
  <si>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</si>
  <si>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</si>
  <si>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</si>
  <si>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</si>
  <si>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</si>
  <si>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</si>
  <si>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</si>
  <si>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</si>
  <si>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</si>
  <si>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</si>
  <si>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</si>
  <si>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</si>
  <si>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</si>
  <si>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</si>
  <si>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</si>
  <si>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</si>
  <si>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</si>
  <si>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</si>
  <si>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</si>
  <si>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</si>
  <si>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</si>
  <si>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</si>
  <si>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</si>
  <si>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</si>
  <si>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</si>
  <si>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</si>
  <si>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</si>
  <si>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</si>
  <si>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</si>
  <si>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</si>
  <si>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</si>
  <si>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</si>
  <si>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</si>
  <si>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</si>
  <si>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</si>
  <si>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</si>
  <si>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</si>
  <si>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</si>
  <si>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</si>
  <si>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</si>
  <si>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</si>
  <si>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</si>
  <si>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</si>
  <si>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</si>
  <si>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</si>
  <si>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</si>
  <si>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</si>
  <si>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</si>
  <si>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</si>
  <si>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</si>
  <si>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</si>
  <si>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</si>
  <si>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</si>
  <si>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</si>
  <si>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</si>
  <si>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</si>
  <si>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</si>
  <si>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</si>
  <si>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</si>
  <si>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</si>
  <si>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</si>
  <si>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</si>
  <si>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</si>
  <si>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</si>
  <si>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</si>
  <si>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</si>
  <si>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</si>
  <si>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</si>
  <si>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</si>
  <si>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</si>
  <si>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</si>
  <si>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</si>
  <si>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</si>
  <si>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</si>
  <si>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</si>
  <si>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</si>
  <si>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</si>
  <si>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</si>
  <si>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</si>
  <si>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</si>
  <si>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</si>
  <si>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</si>
  <si>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</si>
  <si>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</si>
  <si>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</si>
  <si>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</si>
  <si>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</si>
  <si>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</si>
  <si>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</si>
  <si>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</si>
  <si>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</si>
  <si>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</si>
  <si>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</si>
  <si>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</si>
  <si>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</si>
  <si>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</si>
  <si>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</si>
  <si>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</si>
  <si>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</si>
  <si>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</si>
  <si>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</si>
  <si>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</si>
  <si>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</si>
  <si>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</si>
  <si>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</si>
  <si>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</si>
  <si>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</si>
  <si>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</si>
  <si>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</si>
  <si>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</si>
  <si>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</si>
  <si>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</si>
  <si>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</si>
  <si>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</si>
  <si>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</si>
  <si>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</si>
  <si>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</si>
  <si>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</si>
  <si>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</si>
  <si>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</si>
  <si>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</si>
  <si>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</si>
  <si>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</si>
  <si>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</si>
  <si>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</si>
  <si>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</si>
  <si>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</si>
  <si>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</si>
  <si>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</si>
  <si>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</si>
  <si>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</si>
  <si>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</si>
  <si>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</si>
  <si>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</si>
  <si>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</si>
  <si>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</si>
  <si>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</si>
  <si>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</si>
  <si>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</si>
  <si>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</si>
  <si>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</si>
  <si>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</si>
  <si>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</si>
  <si>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</si>
  <si>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</si>
  <si>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</si>
  <si>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</si>
  <si>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</si>
  <si>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</si>
  <si>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</si>
  <si>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</si>
  <si>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</si>
  <si>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</si>
  <si>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</si>
  <si>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</si>
  <si>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</si>
  <si>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</si>
  <si>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</si>
  <si>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</si>
  <si>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</si>
  <si>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</si>
  <si>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</si>
  <si>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</si>
  <si>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</si>
  <si>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</si>
  <si>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</si>
  <si>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</si>
  <si>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</si>
  <si>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</si>
  <si>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</si>
  <si>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</si>
  <si>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</si>
  <si>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</si>
  <si>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</si>
  <si>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</si>
  <si>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</si>
  <si>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</si>
  <si>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</si>
  <si>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</si>
  <si>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</si>
  <si>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</si>
  <si>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</si>
  <si>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</si>
  <si>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</si>
  <si>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</si>
  <si>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</si>
  <si>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</si>
  <si>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</si>
  <si>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</si>
  <si>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</si>
  <si>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</si>
  <si>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</si>
  <si>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</si>
  <si>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</si>
  <si>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</si>
  <si>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</si>
  <si>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</si>
  <si>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</si>
  <si>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</si>
  <si>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</si>
  <si>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</si>
  <si>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</si>
  <si>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</si>
  <si>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</si>
  <si>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</si>
  <si>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</si>
  <si>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</si>
  <si>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</si>
  <si>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</si>
  <si>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</si>
  <si>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</si>
  <si>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</si>
  <si>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</si>
  <si>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</si>
  <si>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</si>
  <si>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</si>
  <si>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</si>
  <si>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</si>
  <si>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</si>
  <si>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</si>
  <si>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</si>
  <si>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</si>
  <si>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</si>
  <si>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</si>
  <si>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</si>
  <si>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</si>
  <si>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</si>
  <si>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</si>
  <si>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</si>
  <si>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</si>
  <si>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</si>
  <si>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</si>
  <si>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</si>
  <si>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</si>
  <si>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</si>
  <si>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</si>
  <si>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</si>
  <si>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</si>
  <si>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</si>
  <si>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</si>
  <si>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</si>
  <si>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</si>
  <si>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</si>
  <si>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</si>
  <si>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</si>
  <si>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</si>
  <si>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</si>
  <si>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</si>
  <si>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</si>
  <si>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</si>
  <si>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</si>
  <si>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</si>
  <si>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</si>
  <si>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</si>
  <si>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</si>
  <si>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</si>
  <si>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</si>
  <si>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</si>
  <si>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</si>
  <si>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</si>
  <si>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</si>
  <si>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</si>
  <si>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</si>
  <si>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</si>
  <si>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</si>
  <si>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</si>
  <si>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</si>
  <si>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</si>
  <si>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</si>
  <si>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</si>
  <si>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</si>
  <si>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</si>
  <si>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</si>
  <si>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</si>
  <si>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</si>
  <si>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</si>
  <si>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</si>
  <si>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</si>
  <si>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</si>
  <si>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</si>
  <si>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</si>
  <si>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</si>
  <si>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</si>
  <si>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</si>
  <si>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</si>
  <si>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</si>
  <si>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</si>
  <si>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</si>
  <si>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</si>
  <si>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</si>
  <si>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</si>
  <si>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</si>
  <si>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</si>
  <si>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</si>
  <si>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</si>
  <si>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</si>
  <si>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</si>
  <si>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</si>
  <si>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</si>
  <si>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</si>
  <si>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</si>
  <si>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</si>
  <si>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</si>
  <si>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</si>
  <si>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</si>
  <si>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</si>
  <si>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</si>
  <si>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</si>
  <si>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</si>
  <si>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</si>
  <si>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</si>
  <si>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</si>
  <si>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</si>
  <si>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</si>
  <si>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</si>
  <si>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</si>
  <si>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</si>
  <si>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</si>
  <si>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</si>
  <si>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</si>
  <si>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</si>
  <si>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</si>
  <si>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</si>
  <si>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</si>
  <si>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</si>
  <si>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</si>
  <si>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</si>
  <si>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</si>
  <si>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</si>
  <si>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</si>
  <si>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</si>
  <si>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</si>
  <si>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</si>
  <si>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</si>
  <si>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</si>
  <si>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</si>
  <si>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</si>
  <si>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</si>
  <si>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</si>
  <si>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</si>
  <si>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</si>
  <si>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</si>
  <si>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</si>
  <si>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</si>
  <si>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</si>
  <si>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</si>
  <si>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</si>
  <si>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</si>
  <si>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</si>
  <si>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</si>
  <si>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</si>
  <si>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</si>
  <si>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</si>
  <si>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</si>
  <si>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</si>
  <si>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</si>
  <si>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</si>
  <si>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</si>
  <si>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</si>
  <si>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</si>
  <si>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</si>
  <si>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</si>
  <si>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</si>
  <si>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</si>
  <si>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</si>
  <si>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</si>
  <si>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</si>
  <si>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</si>
  <si>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</si>
  <si>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</si>
  <si>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</si>
  <si>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</si>
  <si>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</si>
  <si>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</si>
  <si>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</si>
  <si>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</si>
  <si>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</si>
  <si>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</si>
  <si>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</si>
  <si>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</si>
  <si>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</si>
  <si>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</si>
  <si>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</si>
  <si>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</si>
  <si>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</si>
  <si>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</si>
  <si>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</si>
  <si>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</si>
  <si>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</si>
  <si>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</si>
  <si>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</si>
  <si>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</si>
  <si>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</si>
  <si>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</si>
  <si>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</si>
  <si>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</si>
  <si>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</si>
  <si>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</si>
  <si>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</si>
  <si>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</si>
  <si>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</si>
  <si>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</si>
  <si>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</si>
  <si>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</si>
  <si>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</si>
  <si>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</si>
  <si>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</si>
  <si>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</si>
  <si>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</si>
  <si>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</si>
  <si>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</si>
  <si>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</si>
  <si>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</si>
  <si>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</si>
  <si>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</si>
  <si>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</si>
  <si>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</si>
  <si>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</si>
  <si>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</si>
  <si>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</si>
  <si>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</si>
  <si>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</si>
  <si>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</si>
  <si>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</si>
  <si>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</si>
  <si>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</si>
  <si>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</si>
  <si>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</si>
  <si>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</si>
  <si>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</si>
  <si>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</si>
  <si>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</si>
  <si>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</si>
  <si>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</si>
  <si>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</si>
  <si>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</si>
  <si>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</si>
  <si>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</si>
  <si>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</si>
  <si>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</si>
  <si>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</si>
  <si>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</si>
  <si>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</si>
  <si>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</si>
  <si>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</si>
  <si>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</si>
  <si>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</si>
  <si>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</si>
  <si>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</si>
  <si>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</si>
  <si>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</si>
  <si>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</si>
  <si>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</si>
  <si>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</si>
  <si>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</si>
  <si>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</si>
  <si>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</si>
  <si>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</si>
  <si>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</si>
  <si>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</si>
  <si>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</si>
  <si>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</si>
  <si>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</si>
  <si>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</si>
  <si>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</si>
  <si>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</si>
  <si>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</si>
  <si>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</si>
  <si>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</si>
  <si>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</si>
  <si>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</si>
  <si>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</si>
  <si>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</si>
  <si>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</si>
  <si>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</si>
  <si>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</si>
  <si>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</si>
  <si>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</si>
  <si>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</si>
  <si>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</si>
  <si>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</si>
  <si>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</si>
  <si>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</si>
  <si>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</si>
  <si>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</si>
  <si>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</si>
  <si>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</si>
  <si>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</si>
  <si>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</si>
  <si>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</si>
  <si>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</si>
  <si>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</si>
  <si>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</si>
  <si>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</si>
  <si>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</si>
  <si>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</si>
  <si>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</si>
  <si>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</si>
  <si>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</si>
  <si>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</si>
  <si>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</si>
  <si>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</si>
  <si>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</si>
  <si>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</si>
  <si>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</si>
  <si>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</si>
  <si>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</si>
  <si>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</si>
  <si>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</si>
  <si>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</si>
  <si>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</si>
  <si>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</si>
  <si>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</si>
  <si>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</si>
  <si>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</si>
  <si>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</si>
  <si>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</si>
  <si>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</si>
  <si>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</si>
  <si>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</si>
  <si>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</si>
  <si>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</si>
  <si>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</si>
  <si>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</si>
  <si>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</si>
  <si>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</si>
  <si>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</si>
  <si>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</si>
  <si>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</si>
  <si>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</si>
  <si>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</si>
  <si>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</si>
  <si>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</si>
  <si>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</si>
  <si>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</si>
  <si>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</si>
  <si>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</si>
  <si>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</si>
  <si>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</si>
  <si>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</si>
  <si>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</si>
  <si>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</si>
  <si>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</si>
  <si>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</si>
  <si>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</si>
  <si>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</si>
  <si>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</si>
  <si>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</si>
  <si>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</si>
  <si>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</si>
  <si>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</si>
  <si>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</si>
  <si>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</si>
  <si>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</si>
  <si>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</si>
  <si>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</si>
  <si>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</si>
  <si>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</si>
  <si>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</si>
  <si>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</si>
  <si>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</si>
  <si>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</si>
  <si>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</si>
  <si>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</si>
  <si>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</si>
  <si>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</si>
  <si>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</si>
  <si>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</si>
  <si>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</si>
  <si>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</si>
  <si>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</si>
  <si>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</si>
  <si>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</si>
  <si>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</si>
  <si>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</si>
  <si>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</si>
  <si>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</si>
  <si>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</si>
  <si>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</si>
  <si>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</si>
  <si>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</si>
  <si>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</si>
  <si>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</si>
  <si>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</si>
  <si>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</si>
  <si>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</si>
  <si>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</si>
  <si>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</si>
  <si>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</si>
  <si>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</si>
  <si>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</si>
  <si>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</si>
  <si>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</si>
  <si>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</si>
  <si>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</si>
  <si>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</si>
  <si>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</si>
  <si>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</si>
  <si>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</si>
  <si>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</si>
  <si>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</si>
  <si>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</si>
  <si>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</si>
  <si>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</si>
  <si>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</si>
  <si>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</si>
  <si>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</si>
  <si>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</si>
  <si>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</si>
  <si>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</si>
  <si>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</si>
  <si>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</si>
  <si>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</si>
  <si>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</si>
  <si>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</si>
  <si>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</si>
  <si>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</si>
  <si>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</si>
  <si>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</si>
  <si>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</si>
  <si>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</si>
  <si>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</si>
  <si>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</si>
  <si>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</si>
  <si>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</si>
  <si>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</si>
  <si>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</si>
  <si>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</si>
  <si>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</si>
  <si>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</si>
  <si>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</si>
  <si>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</si>
  <si>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</si>
  <si>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</si>
  <si>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</si>
  <si>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</si>
  <si>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</si>
  <si>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</si>
  <si>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</si>
  <si>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</si>
  <si>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</si>
  <si>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</si>
  <si>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</si>
  <si>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</si>
  <si>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</si>
  <si>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</si>
  <si>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</si>
  <si>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</si>
  <si>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</si>
  <si>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</si>
  <si>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</si>
  <si>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</si>
  <si>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</si>
  <si>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</si>
  <si>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</si>
  <si>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</si>
  <si>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</si>
  <si>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</si>
  <si>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</si>
  <si>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</si>
  <si>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</si>
  <si>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</si>
  <si>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</si>
  <si>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</si>
  <si>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</si>
  <si>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</si>
  <si>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</si>
  <si>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</si>
  <si>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</si>
  <si>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</si>
  <si>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</si>
  <si>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</si>
  <si>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</si>
  <si>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</si>
  <si>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</si>
  <si>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</si>
  <si>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</si>
  <si>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</si>
  <si>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</si>
  <si>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</si>
  <si>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</si>
  <si>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</si>
  <si>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</si>
  <si>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</si>
  <si>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</si>
  <si>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</si>
  <si>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</si>
  <si>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</si>
  <si>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</si>
  <si>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</si>
  <si>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</si>
  <si>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</si>
  <si>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</si>
  <si>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</si>
  <si>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</si>
  <si>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</si>
  <si>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</si>
  <si>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</si>
  <si>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</si>
  <si>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</si>
  <si>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</si>
  <si>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</si>
  <si>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</si>
  <si>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</si>
  <si>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</si>
  <si>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</si>
  <si>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</si>
  <si>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</si>
  <si>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</si>
  <si>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</si>
  <si>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</si>
  <si>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</si>
  <si>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</si>
  <si>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</si>
  <si>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</si>
  <si>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</si>
  <si>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</si>
  <si>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</si>
  <si>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</si>
  <si>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</si>
  <si>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</si>
  <si>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</si>
  <si>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</si>
  <si>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</si>
  <si>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</si>
  <si>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</si>
  <si>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</si>
  <si>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</si>
  <si>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</si>
  <si>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</si>
  <si>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</si>
  <si>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</si>
  <si>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</si>
  <si>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</si>
  <si>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</si>
  <si>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</si>
  <si>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</si>
  <si>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</si>
  <si>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</si>
  <si>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</si>
  <si>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</si>
  <si>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</si>
  <si>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</si>
  <si>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</si>
  <si>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</si>
  <si>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</si>
  <si>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</si>
  <si>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</si>
  <si>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</si>
  <si>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</si>
  <si>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</si>
  <si>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</si>
  <si>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</si>
  <si>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</si>
  <si>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</si>
  <si>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</si>
  <si>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</si>
  <si>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</si>
  <si>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</si>
  <si>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</si>
  <si>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</si>
  <si>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</si>
  <si>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</si>
  <si>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</si>
  <si>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</si>
  <si>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</si>
  <si>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</si>
  <si>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</si>
  <si>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</si>
  <si>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</si>
  <si>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</si>
  <si>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</si>
  <si>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</si>
  <si>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</si>
  <si>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</si>
  <si>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</si>
  <si>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</si>
  <si>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</si>
  <si>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</si>
  <si>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</si>
  <si>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</si>
  <si>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</si>
  <si>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</si>
  <si>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</si>
  <si>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</si>
  <si>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</si>
  <si>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</si>
  <si>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</si>
  <si>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</si>
  <si>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</si>
  <si>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</si>
  <si>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</si>
  <si>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</si>
  <si>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</si>
  <si>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</si>
  <si>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</si>
  <si>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</si>
  <si>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</si>
  <si>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</si>
  <si>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</si>
  <si>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</si>
  <si>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</si>
  <si>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</si>
  <si>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</si>
  <si>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</si>
  <si>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</si>
  <si>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</si>
  <si>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</si>
  <si>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</si>
  <si>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</si>
  <si>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</si>
  <si>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</si>
  <si>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</si>
  <si>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</si>
  <si>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</si>
  <si>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</si>
  <si>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</si>
  <si>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</si>
  <si>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</si>
  <si>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</si>
  <si>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</si>
  <si>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</si>
  <si>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</si>
  <si>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</si>
  <si>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</si>
  <si>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</si>
  <si>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</si>
  <si>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</si>
  <si>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</si>
  <si>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</si>
  <si>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</si>
  <si>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</si>
  <si>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</si>
  <si>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</si>
  <si>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</si>
  <si>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</si>
  <si>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</si>
  <si>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</si>
  <si>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</si>
  <si>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</si>
  <si>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</si>
  <si>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</si>
  <si>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</si>
  <si>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</si>
  <si>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</si>
  <si>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</si>
  <si>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</si>
  <si>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</si>
  <si>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</si>
  <si>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</si>
  <si>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</si>
  <si>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</si>
  <si>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</si>
  <si>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</si>
  <si>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</si>
  <si>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</si>
  <si>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</si>
  <si>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</si>
  <si>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</si>
  <si>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</si>
  <si>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</si>
  <si>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</si>
  <si>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</si>
  <si>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</si>
  <si>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</si>
  <si>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</si>
  <si>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</si>
  <si>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</si>
  <si>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</si>
  <si>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</si>
  <si>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</si>
  <si>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</si>
  <si>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</si>
  <si>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</si>
  <si>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</si>
  <si>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</si>
  <si>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</si>
  <si>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</si>
  <si>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</si>
  <si>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</si>
  <si>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</si>
  <si>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</si>
  <si>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</si>
  <si>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</si>
  <si>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</si>
  <si>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</si>
  <si>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</si>
  <si>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</si>
  <si>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</si>
  <si>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</si>
  <si>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</si>
  <si>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</si>
  <si>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</si>
  <si>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</si>
  <si>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</si>
  <si>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</si>
  <si>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</si>
  <si>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</si>
  <si>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</si>
  <si>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</si>
  <si>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</si>
  <si>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</si>
  <si>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</si>
  <si>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</si>
  <si>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</si>
  <si>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</si>
  <si>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</si>
  <si>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</si>
  <si>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</si>
  <si>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</si>
  <si>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</si>
  <si>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</si>
  <si>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</si>
  <si>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</si>
  <si>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</si>
  <si>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</si>
  <si>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</si>
  <si>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</si>
  <si>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</si>
  <si>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</si>
  <si>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</si>
  <si>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</si>
  <si>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</si>
  <si>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</si>
  <si>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</si>
  <si>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</si>
  <si>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</si>
  <si>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</si>
  <si>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</si>
  <si>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</si>
  <si>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</si>
  <si>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</si>
  <si>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</si>
  <si>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</si>
  <si>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</si>
  <si>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</si>
  <si>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</si>
  <si>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</si>
  <si>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</si>
  <si>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</si>
  <si>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</si>
  <si>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</si>
  <si>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</si>
  <si>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</si>
  <si>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</si>
  <si>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</si>
  <si>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</si>
  <si>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</si>
  <si>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</si>
  <si>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</si>
  <si>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</si>
  <si>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</si>
  <si>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</si>
  <si>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</si>
  <si>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</si>
  <si>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</si>
  <si>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</si>
  <si>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</si>
  <si>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</si>
  <si>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</si>
  <si>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</si>
  <si>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</si>
  <si>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</si>
  <si>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</si>
  <si>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</si>
  <si>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</si>
  <si>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</si>
  <si>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</si>
  <si>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</si>
  <si>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</si>
  <si>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</si>
  <si>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</si>
  <si>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</si>
  <si>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</si>
  <si>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</si>
  <si>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</si>
  <si>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</si>
  <si>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</si>
  <si>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</si>
  <si>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</si>
  <si>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</si>
  <si>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</si>
  <si>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</si>
  <si>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</si>
  <si>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</si>
  <si>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</si>
  <si>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</si>
  <si>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</si>
  <si>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</si>
  <si>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</si>
  <si>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</si>
  <si>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</si>
  <si>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</si>
  <si>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</si>
  <si>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</si>
  <si>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</si>
  <si>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</si>
  <si>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</si>
  <si>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</si>
  <si>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</si>
  <si>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</si>
  <si>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</si>
  <si>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</si>
  <si>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</si>
  <si>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</si>
  <si>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</si>
  <si>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</si>
  <si>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</si>
  <si>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</si>
  <si>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</si>
  <si>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</si>
  <si>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</si>
  <si>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</si>
  <si>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</si>
  <si>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</si>
  <si>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</si>
  <si>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</si>
  <si>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</si>
  <si>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</si>
  <si>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</si>
  <si>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</si>
  <si>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</si>
  <si>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</si>
  <si>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</si>
  <si>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</si>
  <si>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</si>
  <si>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</si>
  <si>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</si>
  <si>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</si>
  <si>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</si>
  <si>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</si>
  <si>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</si>
  <si>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</si>
  <si>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</si>
  <si>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</si>
  <si>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</si>
  <si>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</si>
  <si>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</si>
  <si>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</si>
  <si>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</si>
  <si>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</si>
  <si>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</si>
  <si>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</si>
  <si>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</si>
  <si>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</si>
  <si>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</si>
  <si>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</si>
  <si>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</si>
  <si>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</si>
  <si>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</si>
  <si>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</si>
  <si>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</si>
  <si>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</si>
  <si>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</si>
  <si>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</si>
  <si>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</si>
  <si>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</si>
  <si>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</si>
  <si>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</si>
  <si>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</si>
  <si>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</si>
  <si>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</si>
  <si>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</si>
  <si>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</si>
  <si>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</si>
  <si>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</si>
  <si>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</si>
  <si>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</si>
  <si>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</si>
  <si>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</si>
  <si>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</si>
  <si>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</si>
  <si>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</si>
  <si>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</si>
  <si>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</si>
  <si>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</si>
  <si>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</si>
  <si>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</si>
  <si>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</si>
  <si>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</si>
  <si>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</si>
  <si>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</si>
  <si>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</si>
  <si>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</si>
  <si>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</si>
  <si>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</si>
  <si>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</si>
  <si>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</si>
  <si>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</si>
  <si>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</si>
  <si>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</si>
  <si>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</si>
  <si>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</si>
  <si>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</si>
  <si>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</si>
  <si>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</si>
  <si>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</si>
  <si>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</si>
  <si>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</si>
  <si>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</si>
  <si>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</si>
  <si>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</si>
  <si>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</si>
  <si>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</si>
  <si>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</si>
  <si>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</si>
  <si>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</si>
  <si>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</si>
  <si>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</si>
  <si>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</si>
  <si>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</si>
  <si>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</si>
  <si>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</si>
  <si>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</si>
  <si>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</si>
  <si>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</si>
  <si>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</si>
  <si>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</si>
  <si>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</si>
  <si>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</si>
  <si>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</si>
  <si>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</si>
  <si>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</si>
  <si>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</si>
  <si>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</si>
  <si>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</si>
  <si>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</si>
  <si>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</si>
  <si>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</si>
  <si>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</si>
  <si>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</si>
  <si>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</si>
  <si>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</si>
  <si>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</si>
  <si>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</si>
  <si>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</si>
  <si>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</si>
  <si>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</si>
  <si>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</si>
  <si>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</si>
  <si>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</si>
  <si>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</si>
  <si>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</si>
  <si>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</si>
  <si>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</si>
  <si>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</si>
  <si>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</si>
  <si>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</si>
  <si>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</si>
  <si>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</si>
  <si>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</si>
  <si>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</si>
  <si>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</si>
  <si>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</si>
  <si>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</si>
  <si>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</si>
  <si>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</si>
  <si>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</si>
  <si>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</si>
  <si>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</si>
  <si>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</si>
  <si>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</si>
  <si>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</si>
  <si>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</si>
  <si>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</si>
  <si>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</si>
  <si>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</si>
  <si>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</si>
  <si>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</si>
  <si>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</si>
  <si>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</si>
  <si>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</si>
  <si>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</si>
  <si>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</si>
  <si>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</si>
  <si>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</si>
  <si>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</si>
  <si>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</si>
  <si>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</si>
  <si>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</si>
  <si>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</si>
  <si>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</si>
  <si>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</si>
  <si>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</si>
  <si>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</si>
  <si>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</si>
  <si>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</si>
  <si>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</si>
  <si>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</si>
  <si>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</si>
  <si>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</si>
  <si>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</si>
  <si>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</si>
  <si>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</si>
  <si>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</si>
  <si>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</si>
  <si>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</si>
  <si>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</si>
  <si>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</si>
  <si>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</si>
  <si>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</si>
  <si>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</si>
  <si>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</si>
  <si>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</si>
  <si>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</si>
  <si>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</si>
  <si>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</si>
  <si>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</si>
  <si>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</si>
  <si>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</si>
  <si>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</si>
  <si>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</si>
  <si>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</si>
  <si>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</si>
  <si>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</si>
  <si>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</si>
  <si>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</si>
  <si>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</si>
  <si>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</si>
  <si>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</si>
  <si>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</si>
  <si>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</si>
  <si>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</si>
  <si>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</si>
  <si>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</si>
  <si>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</si>
  <si>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</si>
  <si>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</si>
  <si>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</si>
  <si>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</si>
  <si>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</si>
  <si>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</si>
  <si>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</si>
  <si>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</si>
  <si>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</si>
  <si>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</si>
  <si>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</si>
  <si>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</si>
  <si>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</si>
  <si>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</si>
  <si>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</si>
  <si>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</si>
  <si>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</si>
  <si>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</si>
  <si>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</si>
  <si>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</si>
  <si>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</si>
  <si>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</si>
  <si>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</si>
  <si>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</si>
  <si>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</si>
  <si>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</si>
  <si>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</si>
  <si>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</si>
  <si>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</si>
  <si>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</si>
  <si>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</si>
  <si>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</si>
  <si>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</si>
  <si>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</si>
  <si>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</si>
  <si>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</si>
  <si>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</si>
  <si>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</si>
  <si>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</si>
  <si>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</si>
  <si>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</si>
  <si>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</si>
  <si>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</si>
  <si>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</si>
  <si>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</si>
  <si>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</si>
  <si>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</si>
  <si>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</si>
  <si>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</si>
  <si>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</si>
  <si>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</si>
  <si>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</si>
  <si>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</si>
  <si>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</si>
  <si>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</si>
  <si>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</si>
  <si>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</si>
  <si>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</si>
  <si>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</si>
  <si>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</si>
  <si>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</si>
  <si>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</si>
  <si>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</si>
  <si>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</si>
  <si>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</si>
  <si>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</si>
  <si>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</si>
  <si>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</si>
  <si>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</si>
  <si>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</si>
  <si>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</si>
  <si>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</si>
  <si>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</si>
  <si>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</si>
  <si>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</si>
  <si>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</si>
  <si>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</si>
  <si>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</si>
  <si>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</si>
  <si>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</si>
  <si>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</si>
  <si>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</si>
  <si>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</si>
  <si>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</si>
  <si>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</si>
  <si>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</si>
  <si>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</si>
  <si>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</si>
  <si>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</si>
  <si>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</si>
  <si>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</si>
  <si>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</si>
  <si>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</si>
  <si>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</si>
  <si>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</si>
  <si>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</si>
  <si>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</si>
  <si>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</si>
  <si>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</si>
  <si>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</si>
  <si>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</si>
  <si>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</si>
  <si>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</si>
  <si>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</si>
  <si>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</si>
  <si>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</si>
  <si>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</si>
  <si>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</si>
  <si>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</si>
  <si>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</si>
  <si>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</si>
  <si>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</si>
  <si>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</si>
  <si>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</si>
  <si>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</si>
  <si>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</si>
  <si>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</si>
  <si>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</si>
  <si>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</si>
  <si>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</si>
  <si>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</si>
  <si>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</si>
  <si>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</si>
  <si>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</si>
  <si>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</si>
  <si>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</si>
  <si>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</si>
  <si>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</si>
  <si>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</si>
  <si>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</si>
  <si>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</si>
  <si>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</si>
  <si>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</si>
  <si>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</si>
  <si>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</si>
  <si>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</si>
  <si>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</si>
  <si>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</si>
  <si>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</si>
  <si>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</si>
  <si>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</si>
  <si>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</si>
  <si>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</si>
  <si>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</si>
  <si>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</si>
  <si>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</si>
  <si>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</si>
  <si>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</si>
  <si>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</si>
  <si>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</si>
  <si>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</si>
  <si>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</si>
  <si>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</si>
  <si>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</si>
  <si>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</si>
  <si>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</si>
  <si>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</si>
  <si>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</si>
  <si>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</si>
  <si>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</si>
  <si>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</si>
  <si>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</si>
  <si>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</si>
  <si>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</si>
  <si>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</si>
  <si>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</si>
  <si>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</si>
  <si>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</si>
  <si>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</si>
  <si>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</si>
  <si>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</si>
  <si>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</si>
  <si>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</si>
  <si>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</si>
  <si>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</si>
  <si>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</si>
  <si>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</si>
  <si>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</si>
  <si>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</si>
  <si>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</si>
  <si>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</si>
  <si>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</si>
  <si>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</si>
  <si>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</si>
  <si>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</si>
  <si>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</si>
  <si>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</si>
  <si>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</si>
  <si>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</si>
  <si>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</si>
  <si>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</si>
  <si>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</si>
  <si>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</si>
  <si>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</si>
  <si>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</si>
  <si>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</si>
  <si>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</si>
  <si>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</si>
  <si>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</si>
  <si>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</si>
  <si>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</si>
  <si>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</si>
  <si>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</si>
  <si>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</si>
  <si>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</si>
  <si>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</si>
  <si>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</si>
  <si>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</si>
  <si>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</si>
  <si>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</si>
  <si>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</si>
  <si>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</si>
  <si>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</si>
  <si>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</si>
  <si>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</si>
  <si>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</si>
  <si>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</si>
  <si>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</si>
  <si>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</si>
  <si>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</si>
  <si>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</si>
  <si>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</si>
  <si>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</si>
  <si>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</si>
  <si>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</si>
  <si>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</si>
  <si>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</si>
  <si>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</si>
  <si>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</si>
  <si>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</si>
  <si>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</si>
  <si>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</si>
  <si>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</si>
  <si>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</si>
  <si>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</si>
  <si>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</si>
  <si>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</si>
  <si>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</si>
  <si>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</si>
  <si>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</si>
  <si>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</si>
  <si>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</si>
  <si>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</si>
  <si>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</si>
  <si>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</si>
  <si>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</si>
  <si>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</si>
  <si>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</si>
  <si>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</si>
  <si>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</si>
  <si>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</si>
  <si>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</si>
  <si>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</si>
  <si>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</si>
  <si>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</si>
  <si>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</si>
  <si>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</si>
  <si>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</si>
  <si>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</si>
  <si>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</si>
  <si>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</si>
  <si>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</si>
  <si>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</si>
  <si>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</si>
  <si>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</si>
  <si>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</si>
  <si>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</si>
  <si>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</si>
  <si>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</si>
  <si>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</si>
  <si>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</si>
  <si>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</si>
  <si>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</si>
  <si>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</si>
  <si>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</si>
  <si>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</si>
  <si>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</si>
  <si>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</si>
  <si>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</si>
  <si>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</si>
  <si>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</si>
  <si>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</si>
  <si>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</si>
  <si>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</si>
  <si>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</si>
  <si>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</si>
  <si>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</si>
  <si>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</si>
  <si>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</si>
  <si>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</si>
  <si>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</si>
  <si>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</si>
  <si>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</si>
  <si>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</si>
  <si>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</si>
  <si>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</si>
  <si>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</si>
  <si>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</si>
  <si>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</si>
  <si>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</si>
  <si>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</si>
  <si>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</si>
  <si>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</si>
  <si>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</si>
  <si>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</si>
  <si>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</si>
  <si>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</si>
  <si>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</si>
  <si>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</si>
  <si>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</si>
  <si>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</si>
  <si>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</si>
  <si>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</si>
  <si>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</si>
  <si>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</si>
  <si>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</si>
  <si>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</si>
  <si>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</si>
  <si>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</si>
  <si>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</si>
  <si>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</si>
  <si>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</si>
  <si>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</si>
  <si>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</si>
  <si>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</si>
  <si>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</si>
  <si>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</si>
  <si>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</si>
  <si>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</si>
  <si>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</si>
  <si>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</si>
  <si>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</si>
  <si>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</si>
  <si>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</si>
  <si>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</si>
  <si>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</si>
  <si>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</si>
  <si>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</si>
  <si>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</si>
  <si>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</si>
  <si>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</si>
  <si>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</si>
  <si>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</si>
  <si>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</si>
  <si>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</si>
  <si>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</si>
  <si>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</si>
  <si>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</si>
  <si>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</si>
  <si>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</si>
  <si>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</si>
  <si>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</si>
  <si>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</si>
  <si>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</si>
  <si>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</si>
  <si>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</si>
  <si>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</si>
  <si>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</si>
  <si>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</si>
  <si>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</si>
  <si>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</si>
  <si>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</si>
  <si>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</si>
  <si>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</si>
  <si>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</si>
  <si>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</si>
  <si>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</si>
  <si>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</si>
  <si>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</si>
  <si>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</si>
  <si>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</si>
  <si>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</si>
  <si>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</si>
  <si>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</si>
  <si>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</si>
  <si>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</si>
  <si>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</si>
  <si>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</si>
  <si>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</si>
  <si>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</si>
  <si>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</si>
  <si>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</si>
  <si>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</si>
  <si>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</si>
  <si>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</si>
  <si>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</si>
  <si>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</si>
  <si>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</si>
  <si>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</si>
  <si>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</si>
  <si>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</si>
  <si>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</si>
  <si>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</si>
  <si>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</si>
  <si>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</si>
  <si>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</si>
  <si>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</si>
  <si>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</si>
  <si>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</si>
  <si>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</si>
  <si>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</si>
  <si>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</si>
  <si>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</si>
  <si>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</si>
  <si>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</si>
  <si>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</si>
  <si>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</si>
  <si>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</si>
  <si>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</si>
  <si>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</si>
  <si>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</si>
  <si>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</si>
  <si>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</si>
  <si>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</si>
  <si>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</si>
  <si>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</si>
  <si>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</si>
  <si>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</si>
  <si>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</si>
  <si>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</si>
  <si>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</si>
  <si>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</si>
  <si>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</si>
  <si>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</si>
  <si>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</si>
  <si>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</si>
  <si>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</si>
  <si>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</si>
  <si>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</si>
  <si>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</si>
  <si>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</si>
  <si>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</si>
  <si>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</si>
  <si>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</si>
  <si>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</si>
  <si>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</si>
  <si>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</si>
  <si>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</si>
  <si>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</si>
  <si>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</si>
  <si>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</si>
  <si>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</si>
  <si>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</si>
  <si>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</si>
  <si>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</si>
  <si>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</si>
  <si>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</si>
  <si>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</si>
  <si>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</si>
  <si>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</si>
  <si>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</si>
  <si>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</si>
  <si>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</si>
  <si>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</si>
  <si>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</si>
  <si>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</si>
  <si>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</si>
  <si>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</si>
  <si>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</si>
  <si>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</si>
  <si>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</si>
  <si>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</si>
  <si>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</si>
  <si>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</si>
  <si>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</si>
  <si>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</si>
  <si>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</si>
  <si>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</si>
  <si>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</si>
  <si>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</si>
  <si>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</si>
  <si>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</si>
  <si>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</si>
  <si>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</si>
  <si>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</si>
  <si>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</si>
  <si>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</si>
  <si>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</si>
  <si>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</si>
  <si>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</si>
  <si>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</si>
  <si>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</si>
  <si>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</si>
  <si>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</si>
  <si>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</si>
  <si>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</si>
  <si>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</si>
  <si>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</si>
  <si>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</si>
  <si>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</si>
  <si>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</si>
  <si>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</si>
  <si>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</si>
  <si>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</si>
  <si>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</si>
  <si>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</si>
  <si>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</si>
  <si>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</si>
  <si>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</si>
  <si>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</si>
  <si>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</si>
  <si>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</si>
  <si>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</si>
  <si>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</si>
  <si>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</si>
  <si>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</si>
  <si>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</si>
  <si>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</si>
  <si>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</si>
  <si>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</si>
  <si>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</si>
  <si>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</si>
  <si>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</si>
  <si>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</si>
  <si>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</si>
  <si>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</si>
  <si>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</si>
  <si>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</si>
  <si>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</si>
  <si>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</si>
  <si>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</si>
  <si>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</si>
  <si>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</si>
  <si>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</si>
  <si>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</si>
  <si>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</si>
  <si>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</si>
  <si>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</si>
  <si>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</si>
  <si>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</si>
  <si>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</si>
  <si>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</si>
  <si>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</si>
  <si>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</si>
  <si>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</si>
  <si>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</si>
  <si>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</si>
  <si>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</si>
  <si>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</si>
  <si>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</si>
  <si>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</si>
  <si>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</si>
  <si>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</si>
  <si>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</si>
  <si>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</si>
  <si>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</si>
  <si>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</si>
  <si>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</si>
  <si>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</si>
  <si>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</si>
  <si>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</si>
  <si>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</si>
  <si>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</si>
  <si>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</si>
  <si>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</si>
  <si>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</si>
  <si>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</si>
  <si>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</si>
  <si>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</si>
  <si>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</si>
  <si>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</si>
  <si>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</si>
  <si>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</si>
  <si>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</si>
  <si>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</si>
  <si>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</si>
  <si>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</si>
  <si>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</si>
  <si>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</si>
  <si>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</si>
  <si>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</si>
  <si>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</si>
  <si>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</si>
  <si>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</si>
  <si>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</si>
  <si>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</si>
  <si>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</si>
  <si>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</si>
  <si>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</si>
  <si>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</si>
  <si>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</si>
  <si>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</si>
  <si>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</si>
  <si>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</si>
  <si>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</si>
  <si>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</si>
  <si>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</si>
  <si>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</si>
  <si>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</si>
  <si>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</si>
  <si>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</si>
  <si>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</si>
  <si>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</si>
  <si>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</si>
  <si>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</si>
  <si>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</si>
  <si>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</si>
  <si>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</si>
  <si>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</si>
  <si>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</si>
  <si>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</si>
  <si>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</si>
  <si>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</si>
  <si>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</si>
  <si>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</si>
  <si>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</si>
  <si>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</si>
  <si>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</si>
  <si>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</si>
  <si>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</si>
  <si>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</si>
  <si>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</si>
  <si>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</si>
  <si>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</si>
  <si>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</si>
  <si>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</si>
  <si>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</si>
  <si>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</si>
  <si>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</si>
  <si>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</si>
  <si>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</si>
  <si>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</si>
  <si>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</si>
  <si>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</si>
  <si>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</si>
  <si>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</si>
  <si>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</si>
  <si>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</si>
  <si>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</si>
  <si>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</si>
  <si>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</si>
  <si>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</si>
  <si>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</si>
  <si>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</si>
  <si>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</si>
  <si>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</si>
  <si>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</si>
  <si>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</si>
  <si>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</si>
  <si>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</si>
  <si>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</si>
  <si>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</si>
  <si>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</si>
  <si>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</si>
  <si>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</si>
  <si>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</si>
  <si>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</si>
  <si>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</si>
  <si>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</si>
  <si>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</si>
  <si>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</si>
  <si>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</si>
  <si>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</si>
  <si>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</si>
  <si>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</si>
  <si>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</si>
  <si>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</si>
  <si>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</si>
  <si>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</si>
  <si>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</si>
  <si>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</si>
  <si>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</si>
  <si>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</si>
  <si>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</si>
  <si>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</si>
  <si>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</si>
  <si>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</si>
  <si>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</si>
  <si>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</si>
  <si>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</si>
  <si>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</si>
  <si>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</si>
  <si>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</si>
  <si>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</si>
  <si>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</si>
  <si>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</si>
  <si>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</si>
  <si>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</si>
  <si>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</si>
  <si>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</si>
  <si>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</si>
  <si>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</si>
  <si>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</si>
  <si>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</si>
  <si>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</si>
  <si>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</si>
  <si>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</si>
  <si>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</si>
  <si>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</si>
  <si>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</si>
  <si>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</si>
  <si>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</si>
  <si>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</si>
  <si>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</si>
  <si>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</si>
  <si>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</si>
  <si>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</si>
  <si>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</si>
  <si>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</si>
  <si>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</si>
  <si>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</si>
  <si>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</si>
  <si>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</si>
  <si>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</si>
  <si>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</si>
  <si>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</si>
  <si>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</si>
  <si>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</si>
  <si>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</si>
  <si>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</si>
  <si>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</si>
  <si>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</si>
  <si>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</si>
  <si>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</si>
  <si>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</si>
  <si>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</si>
  <si>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</si>
  <si>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</si>
  <si>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</si>
  <si>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</si>
  <si>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</si>
  <si>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</si>
  <si>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</si>
  <si>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</si>
  <si>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</si>
  <si>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</si>
  <si>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</si>
  <si>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</si>
  <si>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</si>
  <si>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</si>
  <si>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</si>
  <si>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</si>
  <si>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</si>
  <si>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</si>
  <si>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</si>
  <si>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</si>
  <si>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</si>
  <si>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</si>
  <si>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</si>
  <si>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</si>
  <si>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</si>
  <si>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</si>
  <si>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</si>
  <si>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</si>
  <si>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</si>
  <si>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</si>
  <si>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</si>
  <si>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</si>
  <si>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</si>
  <si>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</si>
  <si>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</si>
  <si>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</si>
  <si>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</si>
  <si>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</si>
  <si>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</si>
  <si>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</si>
  <si>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</si>
  <si>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</si>
  <si>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</si>
  <si>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</si>
  <si>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</si>
  <si>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</si>
  <si>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</si>
  <si>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</si>
  <si>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</si>
  <si>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</si>
  <si>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</si>
  <si>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</si>
  <si>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</si>
  <si>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</si>
  <si>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</si>
  <si>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</si>
  <si>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</si>
  <si>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</si>
  <si>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</si>
  <si>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</si>
  <si>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</si>
  <si>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</si>
  <si>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</si>
  <si>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</si>
  <si>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</si>
  <si>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</si>
  <si>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</si>
  <si>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</si>
  <si>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</si>
  <si>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</si>
  <si>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</si>
  <si>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</si>
  <si>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</si>
  <si>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</si>
  <si>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</si>
  <si>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</si>
  <si>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</si>
  <si>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</si>
  <si>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</si>
  <si>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</si>
  <si>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</si>
  <si>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</si>
  <si>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</si>
  <si>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</si>
  <si>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</si>
  <si>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</si>
  <si>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</si>
  <si>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</si>
  <si>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</si>
  <si>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</si>
  <si>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</si>
  <si>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</si>
  <si>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</si>
  <si>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</si>
  <si>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</si>
  <si>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</si>
  <si>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</si>
  <si>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</si>
  <si>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</si>
  <si>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</si>
  <si>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</si>
  <si>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</si>
  <si>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</si>
  <si>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</si>
  <si>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</si>
  <si>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</si>
  <si>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</si>
  <si>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</si>
  <si>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</si>
  <si>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</si>
  <si>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</si>
  <si>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</si>
  <si>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</si>
  <si>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</si>
  <si>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</si>
  <si>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</si>
  <si>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</si>
  <si>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</si>
  <si>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</si>
  <si>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</si>
  <si>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</si>
  <si>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</si>
  <si>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</si>
  <si>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</si>
  <si>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</si>
  <si>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</si>
  <si>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</si>
  <si>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</si>
  <si>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</si>
  <si>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</si>
  <si>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</si>
  <si>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</si>
  <si>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</si>
  <si>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</si>
  <si>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</si>
  <si>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</si>
  <si>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</si>
  <si>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</si>
  <si>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</si>
  <si>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</si>
  <si>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</si>
  <si>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</si>
  <si>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</si>
  <si>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</si>
  <si>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</si>
  <si>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</si>
  <si>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</si>
  <si>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</si>
  <si>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</si>
  <si>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</si>
  <si>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</si>
  <si>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</si>
  <si>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</si>
  <si>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</si>
  <si>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</si>
  <si>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</si>
  <si>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</si>
  <si>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</si>
  <si>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</si>
  <si>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</si>
  <si>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</si>
  <si>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</si>
  <si>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</si>
  <si>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</si>
  <si>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</si>
  <si>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</si>
  <si>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</si>
  <si>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</si>
  <si>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</si>
  <si>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</si>
  <si>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</si>
  <si>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</si>
  <si>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</si>
  <si>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</si>
  <si>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</si>
  <si>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</si>
  <si>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</si>
  <si>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</si>
  <si>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</si>
  <si>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</si>
  <si>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</si>
  <si>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</si>
  <si>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</si>
  <si>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</si>
  <si>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</si>
  <si>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</si>
  <si>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</si>
  <si>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</si>
  <si>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</si>
  <si>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</si>
  <si>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</si>
  <si>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</si>
  <si>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</si>
  <si>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</si>
  <si>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</si>
  <si>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</si>
  <si>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</si>
  <si>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</si>
  <si>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</si>
  <si>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</si>
  <si>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</si>
  <si>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</si>
  <si>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</si>
  <si>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</si>
  <si>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</si>
  <si>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</si>
  <si>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</si>
  <si>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</si>
  <si>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</si>
  <si>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</si>
  <si>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</si>
  <si>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</si>
  <si>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</si>
  <si>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</si>
  <si>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</si>
  <si>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</si>
  <si>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</si>
  <si>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</si>
  <si>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</si>
  <si>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</si>
  <si>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</si>
  <si>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</si>
  <si>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</si>
  <si>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</si>
  <si>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</si>
  <si>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</si>
  <si>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</si>
  <si>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</si>
  <si>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</si>
  <si>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</si>
  <si>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</si>
  <si>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</si>
  <si>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</si>
  <si>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</si>
  <si>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</si>
  <si>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</si>
  <si>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</si>
  <si>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</si>
  <si>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</si>
  <si>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</si>
  <si>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</si>
  <si>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</si>
  <si>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</si>
  <si>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</si>
  <si>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</si>
  <si>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</si>
  <si>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</si>
  <si>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</si>
  <si>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</si>
  <si>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</si>
  <si>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</si>
  <si>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</si>
  <si>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</si>
  <si>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</si>
  <si>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</si>
  <si>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</si>
  <si>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</si>
  <si>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</si>
  <si>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</si>
  <si>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</si>
  <si>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</si>
  <si>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</si>
  <si>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</si>
  <si>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</si>
  <si>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</si>
  <si>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</si>
  <si>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</si>
  <si>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</si>
  <si>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</si>
  <si>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</si>
  <si>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</si>
  <si>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</si>
  <si>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</si>
  <si>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</si>
  <si>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</si>
  <si>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</si>
  <si>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</si>
  <si>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</si>
  <si>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</si>
  <si>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</si>
  <si>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</si>
  <si>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</si>
  <si>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</si>
  <si>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</si>
  <si>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</si>
  <si>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</si>
  <si>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</si>
  <si>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</si>
  <si>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</si>
  <si>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</si>
  <si>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</si>
  <si>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</si>
  <si>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</si>
  <si>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</si>
  <si>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</si>
  <si>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</si>
  <si>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</si>
  <si>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</si>
  <si>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</si>
  <si>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</si>
  <si>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</si>
  <si>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</si>
  <si>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</si>
  <si>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</si>
  <si>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</si>
  <si>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</si>
  <si>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</si>
  <si>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</si>
  <si>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</si>
  <si>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</si>
  <si>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</si>
  <si>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</si>
  <si>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</si>
  <si>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</si>
  <si>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</si>
  <si>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</si>
  <si>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</si>
  <si>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</si>
  <si>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</si>
  <si>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</si>
  <si>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</si>
  <si>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</si>
  <si>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</si>
  <si>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</si>
  <si>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</si>
  <si>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</si>
  <si>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</si>
  <si>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</si>
  <si>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</si>
  <si>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</si>
  <si>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</si>
  <si>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</si>
  <si>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</si>
  <si>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</si>
  <si>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</si>
  <si>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</si>
  <si>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</si>
  <si>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</si>
  <si>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</si>
  <si>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</si>
  <si>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</si>
  <si>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</si>
  <si>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</si>
  <si>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</si>
  <si>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</si>
  <si>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</si>
  <si>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</si>
  <si>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</si>
  <si>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</si>
  <si>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</si>
  <si>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</si>
  <si>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</si>
  <si>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</si>
  <si>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</si>
  <si>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</si>
  <si>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</si>
  <si>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</si>
  <si>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</si>
  <si>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</si>
  <si>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</si>
  <si>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</si>
  <si>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</si>
  <si>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</si>
  <si>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</si>
  <si>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</si>
  <si>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</si>
  <si>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</si>
  <si>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</si>
  <si>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</si>
  <si>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</si>
  <si>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</si>
  <si>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</si>
  <si>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</si>
  <si>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</si>
  <si>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</si>
  <si>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</si>
  <si>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</si>
  <si>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</si>
  <si>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</si>
  <si>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</si>
  <si>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</si>
  <si>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</si>
  <si>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</si>
  <si>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</si>
  <si>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</si>
  <si>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</si>
  <si>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</si>
  <si>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</si>
  <si>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</si>
  <si>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</si>
  <si>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</si>
  <si>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</si>
  <si>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</si>
  <si>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</si>
  <si>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</si>
  <si>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</si>
  <si>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</si>
  <si>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</si>
  <si>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</si>
  <si>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</si>
  <si>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</si>
  <si>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</si>
  <si>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</si>
  <si>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</si>
  <si>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</si>
  <si>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</si>
  <si>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</si>
  <si>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</si>
  <si>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</si>
  <si>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</si>
  <si>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</si>
  <si>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</si>
  <si>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</si>
  <si>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</si>
  <si>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</si>
  <si>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</si>
  <si>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</si>
  <si>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</si>
  <si>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</si>
  <si>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</si>
  <si>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</si>
  <si>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</si>
  <si>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</si>
  <si>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</si>
  <si>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</si>
  <si>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</si>
  <si>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</si>
  <si>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</si>
  <si>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</si>
  <si>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</si>
  <si>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</si>
  <si>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</si>
  <si>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</si>
  <si>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</si>
  <si>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</si>
  <si>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</si>
  <si>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</si>
  <si>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</si>
  <si>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</si>
  <si>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</si>
  <si>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</si>
  <si>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</si>
  <si>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</si>
  <si>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</si>
  <si>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</si>
  <si>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</si>
  <si>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</si>
  <si>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</si>
  <si>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</si>
  <si>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</si>
  <si>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</si>
  <si>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</si>
  <si>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</si>
  <si>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</si>
  <si>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</si>
  <si>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</si>
  <si>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</si>
  <si>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</si>
  <si>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</si>
  <si>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</si>
  <si>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</si>
  <si>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</si>
  <si>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</si>
  <si>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</si>
  <si>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</si>
  <si>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</si>
  <si>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</si>
  <si>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</si>
  <si>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</si>
  <si>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</si>
  <si>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</si>
  <si>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</si>
  <si>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</si>
  <si>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</si>
  <si>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</si>
  <si>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</si>
  <si>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</si>
  <si>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</si>
  <si>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</si>
  <si>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</si>
  <si>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</si>
  <si>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</si>
  <si>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</si>
  <si>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</si>
  <si>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</si>
  <si>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</si>
  <si>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</si>
  <si>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</si>
  <si>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</si>
  <si>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</si>
  <si>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</si>
  <si>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</si>
  <si>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</si>
  <si>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</si>
  <si>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</si>
  <si>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</si>
  <si>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</si>
  <si>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</si>
  <si>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</si>
  <si>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</si>
  <si>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</si>
  <si>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</si>
  <si>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</si>
  <si>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</si>
  <si>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</si>
  <si>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</si>
  <si>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</si>
  <si>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</si>
  <si>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</si>
  <si>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</si>
  <si>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</si>
  <si>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</si>
  <si>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</si>
  <si>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</si>
  <si>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</si>
  <si>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</si>
  <si>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</si>
  <si>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</si>
  <si>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</si>
  <si>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</si>
  <si>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</si>
  <si>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</si>
  <si>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</si>
  <si>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</si>
  <si>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</si>
  <si>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</si>
  <si>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</si>
  <si>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</si>
  <si>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</si>
  <si>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</si>
  <si>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</si>
  <si>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</si>
  <si>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</si>
  <si>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</si>
  <si>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</si>
  <si>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</si>
  <si>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</si>
  <si>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</si>
  <si>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</si>
  <si>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</si>
  <si>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</si>
  <si>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</si>
  <si>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</si>
  <si>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</si>
  <si>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</si>
  <si>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</si>
  <si>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</si>
  <si>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</si>
  <si>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</si>
  <si>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</si>
  <si>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</si>
  <si>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</si>
  <si>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</si>
  <si>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</si>
  <si>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</si>
  <si>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</si>
  <si>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</si>
  <si>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</si>
  <si>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</si>
  <si>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</si>
  <si>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</si>
  <si>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</si>
  <si>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</si>
  <si>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</si>
  <si>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</si>
  <si>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</si>
  <si>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</si>
  <si>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</si>
  <si>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</si>
  <si>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</si>
  <si>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</si>
  <si>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</si>
  <si>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</si>
  <si>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</si>
  <si>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</si>
  <si>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</si>
  <si>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</si>
  <si>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</si>
  <si>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</si>
  <si>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</si>
  <si>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</si>
  <si>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</si>
  <si>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</si>
  <si>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</si>
  <si>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</si>
  <si>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</si>
  <si>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</si>
  <si>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</si>
  <si>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</si>
  <si>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</si>
  <si>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</si>
  <si>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</si>
  <si>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</si>
  <si>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</si>
  <si>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</si>
  <si>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</si>
  <si>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</si>
  <si>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</si>
  <si>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</si>
  <si>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</si>
  <si>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</si>
  <si>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</si>
  <si>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</si>
  <si>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</si>
  <si>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</si>
  <si>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</si>
  <si>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</si>
  <si>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</si>
  <si>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</si>
  <si>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</si>
  <si>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</si>
  <si>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</si>
  <si>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</si>
  <si>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</si>
  <si>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</si>
  <si>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</si>
  <si>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</si>
  <si>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</si>
  <si>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</si>
  <si>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</si>
  <si>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</si>
  <si>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</si>
  <si>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</si>
  <si>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</si>
  <si>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</si>
  <si>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</si>
  <si>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</si>
  <si>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</si>
  <si>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</si>
  <si>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</si>
  <si>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</si>
  <si>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</si>
  <si>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</si>
  <si>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</si>
  <si>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</si>
  <si>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</si>
  <si>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</si>
  <si>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</si>
  <si>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</si>
  <si>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</si>
  <si>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</si>
  <si>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</si>
  <si>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</si>
  <si>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</si>
  <si>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</si>
  <si>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</si>
  <si>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</si>
  <si>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</si>
  <si>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</si>
  <si>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</si>
  <si>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</si>
  <si>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</si>
  <si>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</si>
  <si>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</si>
  <si>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</si>
  <si>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</si>
  <si>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</si>
  <si>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</si>
  <si>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</si>
  <si>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</si>
  <si>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</si>
  <si>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</si>
  <si>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</si>
  <si>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</si>
  <si>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</si>
  <si>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</si>
  <si>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</si>
  <si>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</si>
  <si>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</si>
  <si>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</si>
  <si>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</si>
  <si>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</si>
  <si>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</si>
  <si>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</si>
  <si>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</si>
  <si>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</si>
  <si>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</si>
  <si>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</si>
  <si>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</si>
  <si>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</si>
  <si>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</si>
  <si>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</si>
  <si>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</si>
  <si>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</si>
  <si>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</si>
  <si>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</si>
  <si>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</si>
  <si>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</si>
  <si>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</si>
  <si>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</si>
  <si>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</si>
  <si>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</si>
  <si>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</si>
  <si>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</si>
  <si>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</si>
  <si>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</si>
  <si>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</si>
  <si>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</si>
  <si>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</si>
  <si>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</si>
  <si>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</si>
  <si>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</si>
  <si>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</si>
  <si>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</si>
  <si>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</si>
  <si>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</si>
  <si>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</si>
  <si>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</si>
  <si>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</si>
  <si>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</si>
  <si>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</si>
  <si>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</si>
  <si>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</si>
  <si>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</si>
  <si>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</si>
  <si>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</si>
  <si>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</si>
  <si>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</si>
  <si>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</si>
  <si>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</si>
  <si>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</si>
  <si>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</si>
  <si>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</si>
  <si>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</si>
  <si>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</si>
  <si>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</si>
  <si>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</si>
  <si>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</si>
  <si>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</si>
  <si>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</si>
  <si>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</si>
  <si>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</si>
  <si>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</si>
  <si>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</si>
  <si>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</si>
  <si>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</si>
  <si>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</si>
  <si>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</si>
  <si>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</si>
  <si>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</si>
  <si>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</si>
  <si>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</si>
  <si>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</si>
  <si>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</si>
  <si>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</si>
  <si>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</si>
  <si>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</si>
  <si>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</si>
  <si>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</si>
  <si>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</si>
  <si>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</si>
  <si>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</si>
  <si>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</si>
  <si>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</si>
  <si>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</si>
  <si>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</si>
  <si>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</si>
  <si>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</si>
  <si>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</si>
  <si>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</si>
  <si>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</si>
  <si>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</si>
  <si>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</si>
  <si>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</si>
  <si>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</si>
  <si>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</si>
  <si>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</si>
  <si>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</si>
  <si>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</si>
  <si>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</si>
  <si>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</si>
  <si>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</si>
  <si>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</si>
  <si>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</si>
  <si>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</si>
  <si>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</si>
  <si>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</si>
  <si>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</si>
  <si>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</si>
  <si>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</si>
  <si>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</si>
  <si>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</si>
  <si>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</si>
  <si>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</si>
  <si>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</si>
  <si>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</si>
  <si>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</si>
  <si>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</si>
  <si>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</si>
  <si>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</si>
  <si>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</si>
  <si>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</si>
  <si>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</si>
  <si>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</si>
  <si>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</si>
  <si>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</si>
  <si>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</si>
  <si>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</si>
  <si>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</si>
  <si>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</si>
  <si>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</si>
  <si>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</si>
  <si>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</si>
  <si>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</si>
  <si>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</si>
  <si>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</si>
  <si>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</si>
  <si>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</si>
  <si>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</si>
  <si>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</si>
  <si>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</si>
  <si>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</si>
  <si>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</si>
  <si>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</si>
  <si>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</si>
  <si>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</si>
  <si>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</si>
  <si>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</si>
  <si>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</si>
  <si>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</si>
  <si>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</si>
  <si>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</si>
  <si>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</si>
  <si>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</si>
  <si>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</si>
  <si>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</si>
  <si>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</si>
  <si>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</si>
  <si>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</si>
  <si>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</si>
  <si>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</si>
  <si>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</si>
  <si>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</si>
  <si>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</si>
  <si>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</si>
  <si>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</si>
  <si>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</si>
  <si>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</si>
  <si>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</si>
  <si>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</si>
  <si>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</si>
  <si>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</si>
  <si>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</si>
  <si>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</si>
  <si>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</si>
  <si>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</si>
  <si>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</si>
  <si>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</si>
  <si>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</si>
  <si>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</si>
  <si>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</si>
  <si>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</si>
  <si>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</si>
  <si>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</si>
  <si>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</si>
  <si>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</si>
  <si>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</si>
  <si>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</si>
  <si>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</si>
  <si>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</si>
  <si>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</si>
  <si>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</si>
  <si>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</si>
  <si>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</si>
  <si>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</si>
  <si>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</si>
  <si>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</si>
  <si>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</si>
  <si>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</si>
  <si>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</si>
  <si>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</si>
  <si>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</si>
  <si>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</si>
  <si>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</si>
  <si>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</si>
  <si>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</si>
  <si>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</si>
  <si>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</si>
  <si>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</si>
  <si>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</si>
  <si>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</si>
  <si>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</si>
  <si>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</si>
  <si>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</si>
  <si>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</si>
  <si>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</si>
  <si>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</si>
  <si>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</si>
  <si>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</si>
  <si>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</si>
  <si>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</si>
  <si>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</si>
  <si>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</si>
  <si>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</si>
  <si>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</si>
  <si>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</si>
  <si>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</si>
  <si>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</si>
  <si>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</si>
  <si>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</si>
  <si>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</si>
  <si>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</si>
  <si>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</si>
  <si>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</si>
  <si>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</si>
  <si>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</si>
  <si>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</si>
  <si>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</si>
  <si>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</si>
  <si>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</si>
  <si>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</si>
  <si>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</si>
  <si>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</si>
  <si>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</si>
  <si>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</si>
  <si>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</si>
  <si>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</si>
  <si>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</si>
  <si>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</si>
  <si>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</si>
  <si>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</si>
  <si>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</si>
  <si>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</si>
  <si>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</si>
  <si>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</si>
  <si>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</si>
  <si>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</si>
  <si>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</si>
  <si>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</si>
  <si>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</si>
  <si>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</si>
  <si>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</si>
  <si>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</si>
  <si>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</si>
  <si>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</si>
  <si>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</si>
  <si>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</si>
  <si>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</si>
  <si>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</si>
  <si>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</si>
  <si>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</si>
  <si>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</si>
  <si>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</si>
  <si>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</si>
  <si>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</si>
  <si>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</si>
  <si>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</si>
  <si>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</si>
  <si>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</si>
  <si>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</si>
  <si>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</si>
  <si>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</si>
  <si>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</si>
  <si>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</si>
  <si>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</si>
  <si>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</si>
  <si>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</si>
  <si>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</si>
  <si>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</si>
  <si>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</si>
  <si>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</si>
  <si>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</si>
  <si>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</si>
  <si>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</si>
  <si>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</si>
  <si>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</si>
  <si>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</si>
  <si>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</si>
  <si>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</si>
  <si>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</si>
  <si>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</si>
  <si>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</si>
  <si>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</si>
  <si>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</si>
  <si>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</si>
  <si>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</si>
  <si>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</si>
  <si>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</si>
  <si>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</si>
  <si>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</si>
  <si>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</si>
  <si>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</si>
  <si>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</si>
  <si>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</si>
  <si>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</si>
  <si>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</si>
  <si>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</si>
  <si>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</si>
  <si>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</si>
  <si>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</si>
  <si>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</si>
  <si>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</si>
  <si>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</si>
  <si>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</si>
  <si>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</si>
  <si>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</si>
  <si>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</si>
  <si>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</si>
  <si>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</si>
  <si>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</si>
  <si>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</si>
  <si>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</si>
  <si>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</si>
  <si>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</si>
  <si>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</si>
  <si>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</si>
  <si>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</si>
  <si>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</si>
  <si>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</si>
  <si>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</si>
  <si>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</si>
  <si>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</si>
  <si>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</si>
  <si>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</si>
  <si>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</si>
  <si>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</si>
  <si>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</si>
  <si>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</si>
  <si>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</si>
  <si>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</si>
  <si>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</si>
  <si>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</si>
  <si>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</si>
  <si>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</si>
  <si>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</si>
  <si>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</si>
  <si>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</si>
  <si>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</si>
  <si>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</si>
  <si>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</si>
  <si>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</si>
  <si>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</si>
  <si>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</si>
  <si>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</si>
  <si>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</si>
  <si>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</si>
  <si>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</si>
  <si>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</si>
  <si>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</si>
  <si>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</si>
  <si>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</si>
  <si>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</si>
  <si>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</si>
  <si>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</si>
  <si>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</si>
  <si>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</si>
  <si>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</si>
  <si>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</si>
  <si>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</si>
  <si>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</si>
  <si>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</si>
  <si>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</si>
  <si>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</si>
  <si>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</si>
  <si>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</si>
  <si>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</si>
  <si>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</si>
  <si>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</si>
  <si>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</si>
  <si>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</si>
  <si>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</si>
  <si>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</si>
  <si>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</si>
  <si>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</si>
  <si>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</si>
  <si>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</si>
  <si>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</si>
  <si>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</si>
  <si>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</si>
  <si>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</si>
  <si>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</si>
  <si>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</si>
  <si>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</si>
  <si>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</si>
  <si>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</si>
  <si>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</si>
  <si>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</si>
  <si>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</si>
  <si>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</si>
  <si>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</si>
  <si>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</si>
  <si>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</si>
  <si>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</si>
  <si>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</si>
  <si>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</si>
  <si>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</si>
  <si>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</si>
  <si>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</si>
  <si>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</si>
  <si>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</si>
  <si>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</si>
  <si>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</si>
  <si>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</si>
  <si>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</si>
  <si>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</si>
  <si>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</si>
  <si>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</si>
  <si>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</si>
  <si>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</si>
  <si>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</si>
  <si>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</si>
  <si>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</si>
  <si>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</si>
  <si>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</si>
  <si>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</si>
  <si>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</si>
  <si>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</si>
  <si>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</si>
  <si>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</si>
  <si>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</si>
  <si>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</si>
  <si>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</si>
  <si>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</si>
  <si>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</si>
  <si>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</si>
  <si>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</si>
  <si>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</si>
  <si>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</si>
  <si>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</si>
  <si>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</si>
  <si>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</si>
  <si>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</si>
  <si>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</si>
  <si>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</si>
  <si>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</si>
  <si>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</si>
  <si>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</si>
  <si>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</si>
  <si>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</si>
  <si>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</si>
  <si>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</si>
  <si>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</si>
  <si>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</si>
  <si>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</si>
  <si>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</si>
  <si>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</si>
  <si>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</si>
  <si>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</si>
  <si>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</si>
  <si>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</si>
  <si>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</si>
  <si>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</si>
  <si>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</si>
  <si>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</si>
  <si>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</si>
  <si>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</si>
  <si>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</si>
  <si>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</si>
  <si>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</si>
  <si>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</si>
  <si>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</si>
  <si>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</si>
  <si>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</si>
  <si>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</si>
  <si>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</si>
  <si>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</si>
  <si>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</si>
  <si>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</si>
  <si>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</si>
  <si>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</si>
  <si>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</si>
  <si>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</si>
  <si>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</si>
  <si>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</si>
  <si>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</si>
  <si>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</si>
  <si>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</si>
  <si>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</si>
  <si>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</si>
  <si>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</si>
  <si>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</si>
  <si>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</si>
  <si>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</si>
  <si>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</si>
  <si>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</si>
  <si>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</si>
  <si>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</si>
  <si>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</si>
  <si>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</si>
  <si>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</si>
  <si>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</si>
  <si>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</si>
  <si>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</si>
  <si>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</si>
  <si>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</si>
  <si>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</si>
  <si>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</si>
  <si>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</si>
  <si>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</si>
  <si>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</si>
  <si>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</si>
  <si>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</si>
  <si>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</si>
  <si>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</si>
  <si>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</si>
  <si>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</si>
  <si>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</si>
  <si>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</si>
  <si>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</si>
  <si>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</si>
  <si>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</si>
  <si>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</si>
  <si>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</si>
  <si>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</si>
  <si>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</si>
  <si>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</si>
  <si>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</si>
  <si>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</si>
  <si>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</si>
  <si>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</si>
  <si>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</si>
  <si>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</si>
  <si>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</si>
  <si>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</si>
  <si>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</si>
  <si>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</si>
  <si>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</si>
  <si>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</si>
  <si>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</si>
  <si>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</si>
  <si>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</si>
  <si>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</si>
  <si>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</si>
  <si>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</si>
  <si>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</si>
  <si>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</si>
  <si>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</si>
  <si>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</si>
  <si>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</si>
  <si>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</si>
  <si>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</si>
  <si>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</si>
  <si>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</si>
  <si>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</si>
  <si>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</si>
  <si>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</si>
  <si>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</si>
  <si>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</si>
  <si>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</si>
  <si>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</si>
  <si>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</si>
  <si>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</si>
  <si>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</si>
  <si>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</si>
  <si>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</si>
  <si>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</si>
  <si>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</si>
  <si>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</si>
  <si>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</si>
  <si>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</si>
  <si>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</si>
  <si>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</si>
  <si>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</si>
  <si>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</si>
  <si>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</si>
  <si>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</si>
  <si>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</si>
  <si>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</si>
  <si>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</si>
  <si>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</si>
  <si>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</si>
  <si>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</si>
  <si>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</si>
  <si>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</si>
  <si>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</si>
  <si>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</si>
  <si>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</si>
  <si>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</si>
  <si>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</si>
  <si>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</si>
  <si>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</si>
  <si>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</si>
  <si>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</si>
  <si>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</si>
  <si>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</si>
  <si>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</si>
  <si>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</si>
  <si>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</si>
  <si>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</si>
  <si>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</si>
  <si>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</si>
  <si>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</si>
  <si>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</si>
  <si>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</si>
  <si>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</si>
  <si>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</si>
  <si>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</si>
  <si>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</si>
  <si>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</si>
  <si>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</si>
  <si>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</si>
  <si>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</si>
  <si>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</si>
  <si>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</si>
  <si>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</si>
  <si>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</si>
  <si>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</si>
  <si>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</si>
  <si>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</si>
  <si>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</si>
  <si>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</si>
  <si>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</si>
  <si>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</si>
  <si>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</si>
  <si>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</si>
  <si>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</si>
  <si>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</si>
  <si>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</si>
  <si>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</si>
  <si>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</si>
  <si>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</si>
  <si>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</si>
  <si>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</si>
  <si>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</si>
  <si>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</si>
  <si>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</si>
  <si>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</si>
  <si>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</si>
  <si>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</si>
  <si>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</si>
  <si>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</si>
  <si>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</si>
  <si>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</si>
  <si>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</si>
  <si>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</si>
  <si>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</si>
  <si>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</si>
  <si>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</si>
  <si>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</si>
  <si>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</si>
  <si>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</si>
  <si>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</si>
  <si>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</si>
  <si>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</si>
  <si>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</si>
  <si>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</si>
  <si>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</si>
  <si>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</si>
  <si>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</si>
  <si>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</si>
  <si>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</si>
  <si>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</si>
  <si>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</si>
  <si>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</si>
  <si>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</si>
  <si>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</si>
  <si>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</si>
  <si>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</si>
  <si>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</si>
  <si>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</si>
  <si>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</si>
  <si>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</si>
  <si>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</si>
  <si>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</si>
  <si>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</si>
  <si>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</si>
  <si>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</si>
  <si>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</si>
  <si>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</si>
  <si>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</si>
  <si>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</si>
  <si>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</si>
  <si>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</si>
  <si>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</si>
  <si>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</si>
  <si>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</si>
  <si>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</si>
  <si>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</si>
  <si>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</si>
  <si>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</si>
  <si>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</si>
  <si>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</si>
  <si>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</si>
  <si>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</si>
  <si>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</si>
  <si>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</si>
  <si>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</si>
  <si>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</si>
  <si>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</si>
  <si>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</si>
  <si>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</si>
  <si>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</si>
  <si>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</si>
  <si>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</si>
  <si>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</si>
  <si>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</si>
  <si>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</si>
  <si>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</si>
  <si>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</si>
  <si>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</si>
  <si>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</si>
  <si>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</si>
  <si>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</si>
  <si>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</si>
  <si>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</si>
  <si>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</si>
  <si>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</si>
  <si>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</si>
  <si>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</si>
  <si>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</si>
  <si>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</si>
  <si>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</si>
  <si>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</si>
  <si>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</si>
  <si>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</si>
  <si>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</si>
  <si>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</si>
  <si>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</si>
  <si>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</si>
  <si>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</si>
  <si>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</si>
  <si>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</si>
  <si>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</si>
  <si>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</si>
  <si>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</si>
  <si>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</si>
  <si>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</si>
  <si>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</si>
  <si>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</si>
  <si>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</si>
  <si>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</si>
  <si>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</si>
  <si>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</si>
  <si>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</si>
  <si>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</si>
  <si>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</si>
  <si>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</si>
  <si>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</si>
  <si>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</si>
  <si>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</si>
  <si>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</si>
  <si>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</si>
  <si>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</si>
  <si>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</si>
  <si>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</si>
  <si>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</si>
  <si>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</si>
  <si>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</si>
  <si>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</si>
  <si>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</si>
  <si>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</si>
  <si>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</si>
  <si>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</si>
  <si>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</si>
  <si>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</si>
  <si>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</si>
  <si>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</si>
  <si>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</si>
  <si>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</si>
  <si>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</si>
  <si>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</si>
  <si>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</si>
  <si>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</si>
  <si>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</si>
  <si>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</si>
  <si>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</si>
  <si>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</si>
  <si>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</si>
  <si>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</si>
  <si>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</si>
  <si>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</si>
  <si>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</si>
  <si>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</si>
  <si>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</si>
  <si>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</si>
  <si>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</si>
  <si>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</si>
  <si>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</si>
  <si>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</si>
  <si>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</si>
  <si>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</si>
  <si>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</si>
  <si>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</si>
  <si>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</si>
  <si>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</si>
  <si>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</si>
  <si>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</si>
  <si>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</si>
  <si>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</si>
  <si>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</si>
  <si>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</si>
  <si>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</si>
  <si>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</si>
  <si>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</si>
  <si>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</si>
  <si>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</si>
  <si>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</si>
  <si>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</si>
  <si>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</si>
  <si>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</si>
  <si>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</si>
  <si>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</si>
  <si>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</si>
  <si>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</si>
  <si>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</si>
  <si>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</si>
  <si>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</si>
  <si>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</si>
  <si>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</si>
  <si>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</si>
  <si>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</si>
  <si>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</si>
  <si>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</si>
  <si>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</si>
  <si>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</si>
  <si>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</si>
  <si>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</si>
  <si>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</si>
  <si>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</si>
  <si>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</si>
  <si>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</si>
  <si>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</si>
  <si>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</si>
  <si>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</si>
  <si>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</si>
  <si>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</si>
  <si>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</si>
  <si>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</si>
  <si>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</si>
  <si>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</si>
  <si>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</si>
  <si>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</si>
  <si>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</si>
  <si>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</si>
  <si>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</si>
  <si>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</si>
  <si>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</si>
  <si>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</si>
  <si>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</si>
  <si>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</si>
  <si>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</si>
  <si>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</si>
  <si>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</si>
  <si>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</si>
  <si>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</si>
  <si>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</si>
  <si>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</si>
  <si>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</si>
  <si>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</si>
  <si>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</si>
  <si>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</si>
  <si>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</si>
  <si>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</si>
  <si>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</si>
  <si>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</si>
  <si>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</si>
  <si>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</si>
  <si>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</si>
  <si>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</si>
  <si>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</si>
  <si>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</si>
  <si>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</si>
  <si>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</si>
  <si>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</si>
  <si>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</si>
  <si>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</si>
  <si>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</si>
  <si>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</si>
  <si>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</si>
  <si>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</si>
  <si>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</si>
  <si>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</si>
  <si>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</si>
  <si>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</si>
  <si>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</si>
  <si>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</si>
  <si>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</si>
  <si>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</si>
  <si>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</si>
  <si>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</si>
  <si>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</si>
  <si>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</si>
  <si>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</si>
  <si>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</si>
  <si>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</si>
  <si>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</si>
  <si>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</si>
  <si>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</si>
  <si>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</si>
  <si>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</si>
  <si>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</si>
  <si>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</si>
  <si>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</si>
  <si>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</si>
  <si>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</si>
  <si>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</si>
  <si>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</si>
  <si>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</si>
  <si>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</si>
  <si>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</si>
  <si>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</si>
  <si>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</si>
  <si>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</si>
  <si>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</si>
  <si>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</si>
  <si>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</si>
  <si>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</si>
  <si>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</si>
  <si>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</si>
  <si>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</si>
  <si>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</si>
  <si>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</si>
  <si>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</si>
  <si>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</si>
  <si>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</si>
  <si>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</si>
  <si>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</si>
  <si>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</si>
  <si>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</si>
  <si>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</si>
  <si>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</si>
  <si>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</si>
  <si>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</si>
  <si>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</si>
  <si>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</si>
  <si>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</si>
  <si>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</si>
  <si>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</si>
  <si>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</si>
  <si>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</si>
  <si>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</si>
  <si>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</si>
  <si>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</si>
  <si>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</si>
  <si>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</si>
  <si>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</si>
  <si>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</si>
  <si>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</si>
  <si>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</si>
  <si>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</si>
  <si>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</si>
  <si>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</si>
  <si>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</si>
  <si>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</si>
  <si>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</si>
  <si>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</si>
  <si>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</si>
  <si>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</si>
  <si>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</si>
  <si>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</si>
  <si>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</si>
  <si>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</si>
  <si>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</si>
  <si>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</si>
  <si>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</si>
  <si>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</si>
  <si>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</si>
  <si>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</si>
  <si>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</si>
  <si>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</si>
  <si>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</si>
  <si>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</si>
  <si>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</si>
  <si>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</si>
  <si>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</si>
  <si>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</si>
  <si>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</si>
  <si>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</si>
  <si>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</si>
  <si>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</si>
  <si>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</si>
  <si>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</si>
  <si>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</si>
  <si>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</si>
  <si>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</si>
  <si>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</si>
  <si>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</si>
  <si>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</si>
  <si>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</si>
  <si>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</si>
  <si>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</si>
  <si>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</si>
  <si>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</si>
  <si>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</si>
  <si>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</si>
  <si>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</si>
  <si>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</si>
  <si>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</si>
  <si>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</si>
  <si>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</si>
  <si>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</si>
  <si>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</si>
  <si>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</si>
  <si>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</si>
  <si>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</si>
  <si>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</si>
  <si>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</si>
  <si>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</si>
  <si>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</si>
  <si>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</si>
  <si>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</si>
  <si>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</si>
  <si>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</si>
  <si>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</si>
  <si>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</si>
  <si>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</si>
  <si>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</si>
  <si>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</si>
  <si>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</si>
  <si>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</si>
  <si>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</si>
  <si>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</si>
  <si>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</si>
  <si>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</si>
  <si>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</si>
  <si>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</si>
  <si>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</si>
  <si>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</si>
  <si>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</si>
  <si>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</si>
  <si>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</si>
  <si>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</si>
  <si>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</si>
  <si>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</si>
  <si>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</si>
  <si>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</si>
  <si>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</si>
  <si>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</si>
  <si>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</si>
  <si>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</si>
  <si>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</si>
  <si>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</si>
  <si>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</si>
  <si>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</si>
  <si>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</si>
  <si>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</si>
  <si>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</si>
  <si>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</si>
  <si>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</si>
  <si>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</si>
  <si>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</si>
  <si>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</si>
  <si>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</si>
  <si>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</si>
  <si>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</si>
  <si>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</si>
  <si>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</si>
  <si>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</si>
  <si>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</si>
  <si>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</si>
  <si>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</si>
  <si>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</si>
  <si>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</si>
  <si>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</si>
  <si>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</si>
  <si>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</si>
  <si>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</si>
  <si>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</si>
  <si>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</si>
  <si>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</si>
  <si>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</si>
  <si>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</si>
  <si>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</si>
  <si>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</si>
  <si>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</si>
  <si>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</si>
  <si>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</si>
  <si>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</si>
  <si>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</si>
  <si>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</si>
  <si>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</si>
  <si>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</si>
  <si>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</si>
  <si>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</si>
  <si>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</si>
  <si>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</si>
  <si>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</si>
  <si>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</si>
  <si>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</si>
  <si>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</si>
  <si>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</si>
  <si>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</si>
  <si>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</si>
  <si>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</si>
  <si>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</si>
  <si>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</si>
  <si>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</si>
  <si>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</si>
  <si>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</si>
  <si>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</si>
  <si>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</si>
  <si>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</si>
  <si>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</si>
  <si>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</si>
  <si>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</si>
  <si>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</si>
  <si>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</si>
  <si>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</si>
  <si>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</si>
  <si>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</si>
  <si>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بدهی به مهدی 17/2/1398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</si>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</sst>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5017</v>
      </c>
      <c r="B1" s="99" t="s">
        <v>5018</v>
      </c>
      <c r="C1" s="99" t="s">
        <v>5019</v>
      </c>
      <c r="D1" s="99" t="s">
        <v>5020</v>
      </c>
      <c r="E1" s="99" t="s">
        <v>5030</v>
      </c>
      <c r="F1" s="99" t="s">
        <v>5029</v>
      </c>
      <c r="G1" s="99"/>
      <c r="I1" t="s">
        <v>5022</v>
      </c>
      <c r="J1" t="s">
        <v>5026</v>
      </c>
      <c r="K1" t="s">
        <v>5027</v>
      </c>
    </row>
    <row r="2" spans="1:11">
      <c r="A2" s="99" t="s">
        <v>5021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5023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5024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5025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5021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5028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5025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5031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5032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5033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5034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5035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4998</v>
      </c>
      <c r="E1" t="s">
        <v>4999</v>
      </c>
      <c r="F1" t="s">
        <v>8</v>
      </c>
    </row>
    <row r="2" spans="1:6">
      <c r="A2" t="s">
        <v>5002</v>
      </c>
      <c r="B2">
        <v>237</v>
      </c>
      <c r="C2">
        <v>281</v>
      </c>
      <c r="D2">
        <f>B2/C2</f>
        <v>0.84341637010676151</v>
      </c>
      <c r="E2" t="s">
        <v>5003</v>
      </c>
      <c r="F2" t="s">
        <v>5004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5003</v>
      </c>
      <c r="F3" s="96" t="s">
        <v>5004</v>
      </c>
    </row>
    <row r="4" spans="1:6">
      <c r="A4" t="s">
        <v>5005</v>
      </c>
      <c r="B4">
        <v>195</v>
      </c>
      <c r="C4">
        <v>73</v>
      </c>
      <c r="D4" s="96">
        <f t="shared" si="0"/>
        <v>2.6712328767123288</v>
      </c>
      <c r="E4" t="s">
        <v>5006</v>
      </c>
      <c r="F4" t="s">
        <v>5007</v>
      </c>
    </row>
    <row r="5" spans="1:6">
      <c r="A5" t="s">
        <v>5008</v>
      </c>
      <c r="B5">
        <v>1</v>
      </c>
      <c r="C5">
        <v>1</v>
      </c>
      <c r="D5" s="96">
        <f t="shared" si="0"/>
        <v>1</v>
      </c>
      <c r="E5" t="s">
        <v>5006</v>
      </c>
      <c r="F5" t="s">
        <v>5009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5004</v>
      </c>
    </row>
    <row r="7" spans="1:6">
      <c r="A7" t="s">
        <v>5010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5011</v>
      </c>
      <c r="B8">
        <v>335</v>
      </c>
      <c r="C8">
        <v>141</v>
      </c>
      <c r="D8" s="96">
        <f t="shared" si="0"/>
        <v>2.375886524822695</v>
      </c>
      <c r="F8" s="96" t="s">
        <v>5009</v>
      </c>
    </row>
    <row r="9" spans="1:6">
      <c r="A9" t="s">
        <v>4861</v>
      </c>
      <c r="B9">
        <v>150</v>
      </c>
      <c r="C9">
        <v>240</v>
      </c>
      <c r="D9" s="96">
        <f t="shared" si="0"/>
        <v>0.625</v>
      </c>
      <c r="F9" t="s">
        <v>5012</v>
      </c>
    </row>
    <row r="10" spans="1:6">
      <c r="A10" t="s">
        <v>5013</v>
      </c>
      <c r="B10">
        <v>187</v>
      </c>
      <c r="C10">
        <v>208</v>
      </c>
      <c r="D10" s="96">
        <f t="shared" si="0"/>
        <v>0.89903846153846156</v>
      </c>
      <c r="F10" t="s">
        <v>5003</v>
      </c>
    </row>
    <row r="11" spans="1:6">
      <c r="A11" t="s">
        <v>5014</v>
      </c>
      <c r="B11">
        <v>412</v>
      </c>
      <c r="C11">
        <v>183</v>
      </c>
      <c r="D11" s="96">
        <f t="shared" si="0"/>
        <v>2.2513661202185791</v>
      </c>
      <c r="F11" s="96" t="s">
        <v>5009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4997</v>
      </c>
      <c r="B21">
        <v>113</v>
      </c>
      <c r="C21">
        <v>215</v>
      </c>
      <c r="D21" s="96">
        <f t="shared" si="0"/>
        <v>0.52558139534883719</v>
      </c>
      <c r="E21" t="s">
        <v>5000</v>
      </c>
      <c r="F21" t="s">
        <v>5001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4929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4931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4926</v>
      </c>
      <c r="B4" s="18">
        <v>-960200</v>
      </c>
      <c r="C4" s="18">
        <v>0</v>
      </c>
      <c r="D4" s="113">
        <f t="shared" si="0"/>
        <v>-960200</v>
      </c>
      <c r="E4" s="99" t="s">
        <v>4932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4816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4816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4816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4827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4827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4827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4831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4832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4832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4837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4837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4851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4876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4886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4890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4890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4890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4892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4892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4893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4893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4901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4912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4912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4912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4933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4930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4935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4939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4950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4951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4958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4961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4975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4977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4978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4993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5036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5047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4633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4637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4653</v>
      </c>
      <c r="B296" s="18">
        <v>-200000</v>
      </c>
      <c r="C296" s="18">
        <v>0</v>
      </c>
      <c r="D296" s="18">
        <f t="shared" si="18"/>
        <v>-200000</v>
      </c>
      <c r="E296" s="99" t="s">
        <v>4654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4669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4669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4669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4669</v>
      </c>
      <c r="B301" s="18">
        <v>-51400</v>
      </c>
      <c r="C301" s="18">
        <v>0</v>
      </c>
      <c r="D301" s="18">
        <f t="shared" si="18"/>
        <v>-51400</v>
      </c>
      <c r="E301" s="99" t="s">
        <v>4676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4679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4679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4703</v>
      </c>
      <c r="B305" s="18">
        <v>-276773</v>
      </c>
      <c r="C305" s="18">
        <v>0</v>
      </c>
      <c r="D305" s="18">
        <f t="shared" si="18"/>
        <v>-276773</v>
      </c>
      <c r="E305" s="99" t="s">
        <v>4707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4708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4729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4729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4740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4731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4732</v>
      </c>
      <c r="B312" s="18">
        <v>-324747</v>
      </c>
      <c r="C312" s="18">
        <v>0</v>
      </c>
      <c r="D312" s="18">
        <f t="shared" si="18"/>
        <v>-324747</v>
      </c>
      <c r="E312" s="99" t="s">
        <v>4741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4750</v>
      </c>
      <c r="B313" s="18">
        <v>-297992</v>
      </c>
      <c r="C313" s="18">
        <v>0</v>
      </c>
      <c r="D313" s="18">
        <f t="shared" si="18"/>
        <v>-297992</v>
      </c>
      <c r="E313" s="99" t="s">
        <v>4751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4759</v>
      </c>
      <c r="B315" s="18">
        <v>-40000</v>
      </c>
      <c r="C315" s="18">
        <v>0</v>
      </c>
      <c r="D315" s="18">
        <f t="shared" si="18"/>
        <v>-40000</v>
      </c>
      <c r="E315" s="99" t="s">
        <v>4775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4805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4816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4816</v>
      </c>
      <c r="B319" s="18">
        <v>-1866154</v>
      </c>
      <c r="C319" s="18">
        <v>0</v>
      </c>
      <c r="D319" s="18">
        <f t="shared" si="18"/>
        <v>-1866154</v>
      </c>
      <c r="E319" s="19" t="s">
        <v>4825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4816</v>
      </c>
      <c r="B320" s="18">
        <v>-36600</v>
      </c>
      <c r="C320" s="18">
        <v>0</v>
      </c>
      <c r="D320" s="18">
        <f t="shared" si="18"/>
        <v>-36600</v>
      </c>
      <c r="E320" s="99" t="s">
        <v>4826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4827</v>
      </c>
      <c r="B321" s="18">
        <v>-492000</v>
      </c>
      <c r="C321" s="18">
        <v>0</v>
      </c>
      <c r="D321" s="18">
        <f t="shared" si="18"/>
        <v>-492000</v>
      </c>
      <c r="E321" s="99" t="s">
        <v>4828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4827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4827</v>
      </c>
      <c r="B323" s="18">
        <v>-40000</v>
      </c>
      <c r="C323" s="18">
        <v>0</v>
      </c>
      <c r="D323" s="18">
        <f t="shared" si="18"/>
        <v>-40000</v>
      </c>
      <c r="E323" s="99" t="s">
        <v>4830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4831</v>
      </c>
      <c r="B324" s="18">
        <v>-66000</v>
      </c>
      <c r="C324" s="18">
        <v>0</v>
      </c>
      <c r="D324" s="18">
        <f t="shared" si="18"/>
        <v>-66000</v>
      </c>
      <c r="E324" s="99" t="s">
        <v>4830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4832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4832</v>
      </c>
      <c r="B326" s="18">
        <v>-200500</v>
      </c>
      <c r="C326" s="18">
        <v>0</v>
      </c>
      <c r="D326" s="18">
        <f t="shared" si="18"/>
        <v>-200500</v>
      </c>
      <c r="E326" s="99" t="s">
        <v>4833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4837</v>
      </c>
      <c r="B327" s="18">
        <v>1563000</v>
      </c>
      <c r="C327" s="18">
        <v>0</v>
      </c>
      <c r="D327" s="18">
        <f t="shared" si="18"/>
        <v>1563000</v>
      </c>
      <c r="E327" s="99" t="s">
        <v>4842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4837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4851</v>
      </c>
      <c r="B329" s="18">
        <v>-20000</v>
      </c>
      <c r="C329" s="18">
        <v>0</v>
      </c>
      <c r="D329" s="18">
        <f t="shared" si="18"/>
        <v>-20000</v>
      </c>
      <c r="E329" s="99" t="s">
        <v>4855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4866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4871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4876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4886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4890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4890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4890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4892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4892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4893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4893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4901</v>
      </c>
      <c r="B341" s="18">
        <v>433375</v>
      </c>
      <c r="C341" s="18">
        <v>0</v>
      </c>
      <c r="D341" s="18">
        <f t="shared" si="18"/>
        <v>433375</v>
      </c>
      <c r="E341" s="99" t="s">
        <v>4906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4912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4912</v>
      </c>
      <c r="B343" s="18">
        <v>-300000</v>
      </c>
      <c r="C343" s="18">
        <v>0</v>
      </c>
      <c r="D343" s="18">
        <f t="shared" si="18"/>
        <v>-300000</v>
      </c>
      <c r="E343" s="99" t="s">
        <v>4915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4912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4923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4931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4926</v>
      </c>
      <c r="B347" s="18">
        <v>-960200</v>
      </c>
      <c r="C347" s="18">
        <v>0</v>
      </c>
      <c r="D347" s="18">
        <f t="shared" si="18"/>
        <v>-960200</v>
      </c>
      <c r="E347" s="99" t="s">
        <v>4932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4759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4768</v>
      </c>
      <c r="B75" s="113">
        <v>-20000</v>
      </c>
      <c r="C75" s="99" t="s">
        <v>4776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"/>
  <sheetViews>
    <sheetView workbookViewId="0">
      <pane ySplit="1" topLeftCell="A262" activePane="bottomLeft" state="frozen"/>
      <selection pane="bottomLeft" activeCell="B290" sqref="B29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4637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5015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5015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5038</v>
      </c>
      <c r="B276" s="113">
        <v>-104671</v>
      </c>
      <c r="C276" s="99">
        <v>1</v>
      </c>
      <c r="D276" s="99">
        <f t="shared" ref="D276:D292" si="11">D277+C276</f>
        <v>3</v>
      </c>
      <c r="E276" s="99">
        <f t="shared" ref="E276:E292" si="12">IF(B277&gt;0,1,0)</f>
        <v>0</v>
      </c>
      <c r="F276" s="99">
        <f t="shared" ref="F276:F292" si="13">B277*(D276-E276)</f>
        <v>-816000</v>
      </c>
      <c r="G276" s="99"/>
    </row>
    <row r="277" spans="1:11">
      <c r="A277" s="99" t="s">
        <v>5040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5042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-213500</v>
      </c>
      <c r="G278" s="99"/>
    </row>
    <row r="279" spans="1:11">
      <c r="A279" s="99" t="s">
        <v>4987</v>
      </c>
      <c r="B279" s="113">
        <v>-213500</v>
      </c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 t="s">
        <v>5067</v>
      </c>
      <c r="B280" s="113">
        <v>-3810</v>
      </c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 t="s">
        <v>5068</v>
      </c>
      <c r="B281" s="113">
        <v>-120632</v>
      </c>
      <c r="C281" s="99"/>
      <c r="D281" s="99">
        <f t="shared" si="11"/>
        <v>0</v>
      </c>
      <c r="E281" s="99">
        <f t="shared" si="12"/>
        <v>1</v>
      </c>
      <c r="F281" s="99">
        <f t="shared" si="13"/>
        <v>-80000</v>
      </c>
      <c r="G281" s="99"/>
      <c r="J281" t="s">
        <v>25</v>
      </c>
    </row>
    <row r="282" spans="1:11">
      <c r="A282" s="99" t="s">
        <v>5051</v>
      </c>
      <c r="B282" s="113">
        <v>80000</v>
      </c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 t="s">
        <v>5051</v>
      </c>
      <c r="B283" s="113">
        <v>-2500</v>
      </c>
      <c r="C283" s="99"/>
      <c r="D283" s="99">
        <f>D289+C283</f>
        <v>0</v>
      </c>
      <c r="E283" s="99">
        <f>IF(B289&gt;0,1,0)</f>
        <v>0</v>
      </c>
      <c r="F283" s="99">
        <f>B289*(D283-E283)</f>
        <v>0</v>
      </c>
      <c r="G283" s="99"/>
      <c r="J283" s="114">
        <f>B294-498804</f>
        <v>-400000</v>
      </c>
    </row>
    <row r="284" spans="1:11">
      <c r="A284" s="99" t="s">
        <v>5056</v>
      </c>
      <c r="B284" s="113">
        <v>-30000</v>
      </c>
      <c r="C284" s="99"/>
      <c r="D284" s="99"/>
      <c r="E284" s="99"/>
      <c r="F284" s="99"/>
      <c r="G284" s="99"/>
    </row>
    <row r="285" spans="1:11">
      <c r="A285" s="99" t="s">
        <v>5069</v>
      </c>
      <c r="B285" s="113">
        <v>-19800</v>
      </c>
      <c r="C285" s="99"/>
      <c r="D285" s="99"/>
      <c r="E285" s="99"/>
      <c r="F285" s="99"/>
      <c r="G285" s="99"/>
      <c r="K285" t="s">
        <v>25</v>
      </c>
    </row>
    <row r="286" spans="1:11">
      <c r="A286" s="99" t="s">
        <v>5055</v>
      </c>
      <c r="B286" s="113">
        <v>940000</v>
      </c>
      <c r="C286" s="99"/>
      <c r="D286" s="99"/>
      <c r="E286" s="99"/>
      <c r="F286" s="99"/>
      <c r="G286" s="99"/>
    </row>
    <row r="287" spans="1:11">
      <c r="A287" s="99" t="s">
        <v>5055</v>
      </c>
      <c r="B287" s="113">
        <v>-201000</v>
      </c>
      <c r="C287" s="99"/>
      <c r="D287" s="99"/>
      <c r="E287" s="99"/>
      <c r="F287" s="99"/>
      <c r="G287" s="99"/>
    </row>
    <row r="288" spans="1:11">
      <c r="A288" s="99" t="s">
        <v>5064</v>
      </c>
      <c r="B288" s="113">
        <v>-320930</v>
      </c>
      <c r="C288" s="99"/>
      <c r="D288" s="99"/>
      <c r="E288" s="99"/>
      <c r="F288" s="99"/>
      <c r="G288" s="99"/>
    </row>
    <row r="289" spans="1:9">
      <c r="A289" s="99" t="s">
        <v>5065</v>
      </c>
      <c r="B289" s="113">
        <v>-400000</v>
      </c>
      <c r="C289" s="99"/>
      <c r="D289" s="99">
        <f t="shared" si="11"/>
        <v>0</v>
      </c>
      <c r="E289" s="99">
        <f t="shared" si="12"/>
        <v>0</v>
      </c>
      <c r="F289" s="99">
        <f t="shared" si="13"/>
        <v>0</v>
      </c>
      <c r="G289" s="99"/>
    </row>
    <row r="290" spans="1:9">
      <c r="A290" s="99"/>
      <c r="B290" s="113"/>
      <c r="C290" s="99"/>
      <c r="D290" s="99">
        <f t="shared" si="11"/>
        <v>0</v>
      </c>
      <c r="E290" s="99">
        <f t="shared" si="12"/>
        <v>0</v>
      </c>
      <c r="F290" s="99">
        <f t="shared" si="13"/>
        <v>0</v>
      </c>
      <c r="G290" s="99"/>
    </row>
    <row r="291" spans="1:9">
      <c r="A291" s="99"/>
      <c r="B291" s="113"/>
      <c r="C291" s="99"/>
      <c r="D291" s="99">
        <f t="shared" si="11"/>
        <v>0</v>
      </c>
      <c r="E291" s="99">
        <f t="shared" si="12"/>
        <v>0</v>
      </c>
      <c r="F291" s="99">
        <f t="shared" si="13"/>
        <v>0</v>
      </c>
      <c r="G291" s="99"/>
      <c r="I291" t="s">
        <v>25</v>
      </c>
    </row>
    <row r="292" spans="1:9">
      <c r="A292" s="11"/>
      <c r="B292" s="3">
        <v>0</v>
      </c>
      <c r="C292" s="11">
        <v>0</v>
      </c>
      <c r="D292" s="99">
        <f t="shared" si="11"/>
        <v>0</v>
      </c>
      <c r="E292" s="99">
        <f t="shared" si="12"/>
        <v>0</v>
      </c>
      <c r="F292" s="99">
        <f t="shared" si="13"/>
        <v>0</v>
      </c>
      <c r="G292" s="11"/>
    </row>
    <row r="293" spans="1:9">
      <c r="A293" s="11"/>
      <c r="B293" s="3"/>
      <c r="C293" s="11"/>
      <c r="D293" s="99"/>
      <c r="E293" s="99"/>
      <c r="F293" s="99"/>
      <c r="G293" s="11"/>
    </row>
    <row r="294" spans="1:9">
      <c r="A294" s="11"/>
      <c r="B294" s="29">
        <f>SUM(B2:B292)</f>
        <v>98804</v>
      </c>
      <c r="C294" s="11"/>
      <c r="D294" s="11"/>
      <c r="E294" s="11"/>
      <c r="F294" s="29">
        <f>SUM(F2:F292)</f>
        <v>19234192596</v>
      </c>
      <c r="G294" s="11"/>
    </row>
    <row r="295" spans="1:9">
      <c r="A295" s="11"/>
      <c r="B295" s="11" t="s">
        <v>6</v>
      </c>
      <c r="C295" s="11"/>
      <c r="D295" s="11"/>
      <c r="E295" s="11"/>
      <c r="F295" s="11" t="s">
        <v>284</v>
      </c>
      <c r="G295" s="11"/>
    </row>
    <row r="296" spans="1:9">
      <c r="A296" s="11"/>
      <c r="B296" s="11"/>
      <c r="C296" s="11"/>
      <c r="D296" s="11"/>
      <c r="E296" s="11"/>
      <c r="F296" s="11"/>
      <c r="G296" s="11"/>
    </row>
    <row r="297" spans="1:9">
      <c r="A297" s="11"/>
      <c r="B297" s="11"/>
      <c r="C297" s="11"/>
      <c r="D297" s="11"/>
      <c r="E297" s="11"/>
      <c r="F297" s="3">
        <f>F294/D2</f>
        <v>18111292.463276837</v>
      </c>
      <c r="G297" s="11"/>
    </row>
    <row r="298" spans="1:9">
      <c r="A298" s="11"/>
      <c r="B298" s="11"/>
      <c r="C298" s="11"/>
      <c r="D298" s="11"/>
      <c r="E298" s="11"/>
      <c r="F298" s="11" t="s">
        <v>286</v>
      </c>
      <c r="G298" s="11"/>
    </row>
    <row r="303" spans="1:9">
      <c r="D303" t="s">
        <v>25</v>
      </c>
    </row>
    <row r="304" spans="1:9">
      <c r="B304" s="7"/>
    </row>
    <row r="306" spans="5:5" ht="75">
      <c r="E306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4785</v>
      </c>
      <c r="L15">
        <v>451474</v>
      </c>
      <c r="M15" s="249" t="s">
        <v>4990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4925</v>
      </c>
      <c r="B193" s="38">
        <v>-25000</v>
      </c>
      <c r="C193" s="11" t="s">
        <v>4934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3"/>
  <sheetViews>
    <sheetView tabSelected="1" topLeftCell="J106" zoomScaleNormal="100" workbookViewId="0">
      <selection activeCell="K111" sqref="K11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4862</v>
      </c>
      <c r="AT10" s="73" t="s">
        <v>4865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4886</v>
      </c>
      <c r="AT11" s="73" t="s">
        <v>4887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4955</v>
      </c>
      <c r="AT12" s="73" t="s">
        <v>4956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ایلیا'!B294</f>
        <v>98804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4957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2948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S95</f>
        <v>230</v>
      </c>
      <c r="T20" s="168" t="s">
        <v>4309</v>
      </c>
      <c r="U20" s="168">
        <v>192.1</v>
      </c>
      <c r="V20" s="168">
        <f t="shared" ref="V20:V59" si="6">U20*(1+$N$88+$Q$15*S20/36500)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547504814.44331682</v>
      </c>
      <c r="M21" s="168" t="s">
        <v>4301</v>
      </c>
      <c r="N21" s="113">
        <f t="shared" ref="N21:N26" si="9">O21*P21</f>
        <v>32303731.700000003</v>
      </c>
      <c r="O21" s="99">
        <v>163729</v>
      </c>
      <c r="P21" s="186">
        <f>P56</f>
        <v>197.3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130733187</v>
      </c>
      <c r="O22" s="99">
        <v>34905</v>
      </c>
      <c r="P22" s="186">
        <f>P46</f>
        <v>3745.4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1263948</v>
      </c>
      <c r="O23" s="99">
        <v>8808</v>
      </c>
      <c r="P23" s="186">
        <f>P48</f>
        <v>143.5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L68</f>
        <v>501317267.44331682</v>
      </c>
      <c r="G24" s="95">
        <f t="shared" si="0"/>
        <v>-221010922.06137818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107335022.8</v>
      </c>
      <c r="O24" s="99">
        <v>154706</v>
      </c>
      <c r="P24" s="186">
        <f>P51</f>
        <v>693.8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102096407.5</v>
      </c>
      <c r="O25" s="99">
        <v>20491</v>
      </c>
      <c r="P25" s="186">
        <f>P52</f>
        <v>4982.5</v>
      </c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4531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115</v>
      </c>
      <c r="T29" s="168" t="s">
        <v>4622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4700477</v>
      </c>
      <c r="O30" s="69">
        <v>1255</v>
      </c>
      <c r="P30" s="99">
        <f>P46</f>
        <v>3745.4</v>
      </c>
      <c r="Q30" s="169">
        <v>250962</v>
      </c>
      <c r="R30" s="168" t="s">
        <v>4664</v>
      </c>
      <c r="S30" s="198">
        <f>S29-10</f>
        <v>105</v>
      </c>
      <c r="T30" s="168" t="s">
        <v>4665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668129.39999999991</v>
      </c>
      <c r="O31" s="69">
        <v>963</v>
      </c>
      <c r="P31" s="99">
        <f>P51</f>
        <v>693.8</v>
      </c>
      <c r="Q31" s="169">
        <v>350718</v>
      </c>
      <c r="R31" s="215" t="s">
        <v>4710</v>
      </c>
      <c r="S31" s="198">
        <f>S30-7</f>
        <v>98</v>
      </c>
      <c r="T31" s="215" t="s">
        <v>4711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722462.5</v>
      </c>
      <c r="O32" s="69">
        <v>145</v>
      </c>
      <c r="P32" s="99">
        <f>P52</f>
        <v>4982.5</v>
      </c>
      <c r="Q32" s="169">
        <v>17953742</v>
      </c>
      <c r="R32" s="215" t="s">
        <v>3684</v>
      </c>
      <c r="S32" s="198">
        <f>S31-15</f>
        <v>83</v>
      </c>
      <c r="T32" s="215" t="s">
        <v>4758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25875303.100000001</v>
      </c>
      <c r="O33" s="69">
        <v>131147</v>
      </c>
      <c r="P33" s="99">
        <f>P56</f>
        <v>197.3</v>
      </c>
      <c r="Q33" s="169">
        <v>9566181</v>
      </c>
      <c r="R33" s="215" t="s">
        <v>4759</v>
      </c>
      <c r="S33" s="198">
        <f>S32-1</f>
        <v>82</v>
      </c>
      <c r="T33" s="215" t="s">
        <v>4760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4759</v>
      </c>
      <c r="S34" s="198">
        <f>S33</f>
        <v>82</v>
      </c>
      <c r="T34" s="215" t="s">
        <v>4761</v>
      </c>
      <c r="U34" s="215">
        <v>3095</v>
      </c>
      <c r="V34" s="215">
        <f t="shared" si="6"/>
        <v>3324.3522191780821</v>
      </c>
      <c r="W34" s="32">
        <f t="shared" ref="W34:W59" si="14">V34*(1+$W$19/100)</f>
        <v>3390.8392635616437</v>
      </c>
      <c r="X34" s="32">
        <f t="shared" ref="X34:X59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4759</v>
      </c>
      <c r="S35" s="198">
        <f>S34</f>
        <v>82</v>
      </c>
      <c r="T35" s="215" t="s">
        <v>4762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-547504814.44331682</v>
      </c>
      <c r="O36" s="96" t="s">
        <v>25</v>
      </c>
      <c r="P36" s="96" t="s">
        <v>25</v>
      </c>
      <c r="Q36" s="169">
        <v>5021554</v>
      </c>
      <c r="R36" s="215" t="s">
        <v>4759</v>
      </c>
      <c r="S36" s="198">
        <f>S35</f>
        <v>82</v>
      </c>
      <c r="T36" s="215" t="s">
        <v>4763</v>
      </c>
      <c r="U36" s="215">
        <v>3859.8</v>
      </c>
      <c r="V36" s="215">
        <f t="shared" si="6"/>
        <v>4145.8270421917814</v>
      </c>
      <c r="W36" s="32">
        <f t="shared" si="14"/>
        <v>4228.7435830356171</v>
      </c>
      <c r="X36" s="32">
        <f t="shared" si="15"/>
        <v>4311.6601238794528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4768</v>
      </c>
      <c r="S37" s="198">
        <f>S36-1</f>
        <v>81</v>
      </c>
      <c r="T37" s="215" t="s">
        <v>4771</v>
      </c>
      <c r="U37" s="215">
        <v>3099.2</v>
      </c>
      <c r="V37" s="215">
        <f t="shared" si="6"/>
        <v>3326.4859879452056</v>
      </c>
      <c r="W37" s="32">
        <f t="shared" si="14"/>
        <v>3393.0157077041099</v>
      </c>
      <c r="X37" s="32">
        <f t="shared" si="15"/>
        <v>3459.5454274630138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فیزیکی'!M48*10*P57</f>
        <v>0</v>
      </c>
      <c r="M38" s="168" t="s">
        <v>760</v>
      </c>
      <c r="N38" s="113">
        <v>1200000</v>
      </c>
      <c r="P38" t="s">
        <v>25</v>
      </c>
      <c r="Q38" s="169">
        <v>13402013</v>
      </c>
      <c r="R38" s="215" t="s">
        <v>4768</v>
      </c>
      <c r="S38" s="198">
        <f>S37</f>
        <v>81</v>
      </c>
      <c r="T38" s="215" t="s">
        <v>4772</v>
      </c>
      <c r="U38" s="215">
        <v>3853.3</v>
      </c>
      <c r="V38" s="215">
        <f t="shared" si="6"/>
        <v>4135.8894093150693</v>
      </c>
      <c r="W38" s="32">
        <f t="shared" si="14"/>
        <v>4218.607197501371</v>
      </c>
      <c r="X38" s="32">
        <f t="shared" si="15"/>
        <v>4301.3249856876719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4821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4777</v>
      </c>
      <c r="S39" s="198">
        <f>S38-1</f>
        <v>80</v>
      </c>
      <c r="T39" s="215" t="s">
        <v>4778</v>
      </c>
      <c r="U39" s="215">
        <v>3130</v>
      </c>
      <c r="V39" s="215">
        <f t="shared" si="6"/>
        <v>3357.1436712328773</v>
      </c>
      <c r="W39" s="32">
        <f t="shared" si="14"/>
        <v>3424.2865446575347</v>
      </c>
      <c r="X39" s="32">
        <f t="shared" si="15"/>
        <v>3491.4294180821926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فیزیکی'!M47+3)*10*P57</f>
        <v>15450000</v>
      </c>
      <c r="O40" s="96"/>
      <c r="P40" s="96" t="s">
        <v>25</v>
      </c>
      <c r="Q40" s="169">
        <v>3377001</v>
      </c>
      <c r="R40" s="215" t="s">
        <v>4786</v>
      </c>
      <c r="S40" s="198">
        <f>S39-4</f>
        <v>76</v>
      </c>
      <c r="T40" s="215" t="s">
        <v>4792</v>
      </c>
      <c r="U40" s="215">
        <v>3324.8</v>
      </c>
      <c r="V40" s="215">
        <f t="shared" si="6"/>
        <v>3555.8781545205484</v>
      </c>
      <c r="W40" s="32">
        <f t="shared" si="14"/>
        <v>3626.9957176109592</v>
      </c>
      <c r="X40" s="32">
        <f t="shared" si="15"/>
        <v>3698.1132807013705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4820</v>
      </c>
      <c r="N41" s="113">
        <v>-18000000</v>
      </c>
      <c r="O41" s="247" t="s">
        <v>25</v>
      </c>
      <c r="P41" s="114"/>
      <c r="Q41" s="169">
        <v>63610880</v>
      </c>
      <c r="R41" s="215" t="s">
        <v>4786</v>
      </c>
      <c r="S41" s="198">
        <f>S40</f>
        <v>76</v>
      </c>
      <c r="T41" s="215" t="s">
        <v>4790</v>
      </c>
      <c r="U41" s="215">
        <v>4176.3</v>
      </c>
      <c r="V41" s="215">
        <f t="shared" si="6"/>
        <v>4466.558570958905</v>
      </c>
      <c r="W41" s="32">
        <f t="shared" si="14"/>
        <v>4555.8897423780827</v>
      </c>
      <c r="X41" s="32">
        <f t="shared" si="15"/>
        <v>4645.2209137972613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4822</v>
      </c>
      <c r="N42" s="113">
        <v>-47000000</v>
      </c>
      <c r="O42" s="96"/>
      <c r="P42" s="96" t="s">
        <v>25</v>
      </c>
      <c r="Q42" s="169">
        <v>15499033</v>
      </c>
      <c r="R42" s="215" t="s">
        <v>4786</v>
      </c>
      <c r="S42" s="198">
        <f>S41</f>
        <v>76</v>
      </c>
      <c r="T42" s="215" t="s">
        <v>4791</v>
      </c>
      <c r="U42" s="215">
        <v>525.1</v>
      </c>
      <c r="V42" s="215">
        <f t="shared" si="6"/>
        <v>561.59516931506857</v>
      </c>
      <c r="W42" s="32">
        <f t="shared" si="14"/>
        <v>572.82707270136996</v>
      </c>
      <c r="X42" s="32">
        <f t="shared" si="15"/>
        <v>584.05897608767134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4796</v>
      </c>
      <c r="S43" s="198">
        <f>S42-1</f>
        <v>75</v>
      </c>
      <c r="T43" s="215" t="s">
        <v>4801</v>
      </c>
      <c r="U43" s="215">
        <v>529.79999999999995</v>
      </c>
      <c r="V43" s="215">
        <f t="shared" si="6"/>
        <v>566.21540383561648</v>
      </c>
      <c r="W43" s="32">
        <f t="shared" si="14"/>
        <v>577.53971191232881</v>
      </c>
      <c r="X43" s="32">
        <f t="shared" si="15"/>
        <v>588.86401998904114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5060</v>
      </c>
      <c r="L44" s="117">
        <v>-500000</v>
      </c>
      <c r="M44" s="168" t="s">
        <v>4459</v>
      </c>
      <c r="N44" s="113">
        <v>3541</v>
      </c>
      <c r="P44" t="s">
        <v>25</v>
      </c>
      <c r="Q44" s="169">
        <v>5420397</v>
      </c>
      <c r="R44" s="215" t="s">
        <v>4796</v>
      </c>
      <c r="S44" s="198">
        <f>S43</f>
        <v>75</v>
      </c>
      <c r="T44" s="215" t="s">
        <v>4802</v>
      </c>
      <c r="U44" s="215">
        <v>5395.9</v>
      </c>
      <c r="V44" s="215">
        <f t="shared" si="6"/>
        <v>5766.7831210958911</v>
      </c>
      <c r="W44" s="32">
        <f t="shared" si="14"/>
        <v>5882.1187835178089</v>
      </c>
      <c r="X44" s="32">
        <f t="shared" si="15"/>
        <v>5997.4544459397266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4796</v>
      </c>
      <c r="S45" s="198">
        <f>S44</f>
        <v>75</v>
      </c>
      <c r="T45" s="215" t="s">
        <v>4803</v>
      </c>
      <c r="U45" s="215">
        <v>3355.8</v>
      </c>
      <c r="V45" s="215">
        <f t="shared" si="6"/>
        <v>3586.4583846575351</v>
      </c>
      <c r="W45" s="32">
        <f t="shared" si="14"/>
        <v>3658.187552350686</v>
      </c>
      <c r="X45" s="32">
        <f t="shared" si="15"/>
        <v>3729.9167200438364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156475321.20000002</v>
      </c>
      <c r="O46" s="99">
        <v>41778</v>
      </c>
      <c r="P46" s="99">
        <v>3745.4</v>
      </c>
      <c r="Q46" s="169">
        <v>1018599</v>
      </c>
      <c r="R46" s="215" t="s">
        <v>4893</v>
      </c>
      <c r="S46" s="198">
        <f>S45-19</f>
        <v>56</v>
      </c>
      <c r="T46" s="215" t="s">
        <v>4895</v>
      </c>
      <c r="U46" s="215">
        <v>4155.3</v>
      </c>
      <c r="V46" s="215">
        <f t="shared" si="6"/>
        <v>4380.3464942465762</v>
      </c>
      <c r="W46" s="32">
        <f t="shared" si="14"/>
        <v>4467.9534241315077</v>
      </c>
      <c r="X46" s="32">
        <f t="shared" si="15"/>
        <v>4555.5603540164393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7" si="16">O47*P47</f>
        <v>865000</v>
      </c>
      <c r="O47" s="69">
        <v>2000</v>
      </c>
      <c r="P47" s="69">
        <v>432.5</v>
      </c>
      <c r="Q47" s="169">
        <v>1001132</v>
      </c>
      <c r="R47" s="215" t="s">
        <v>4893</v>
      </c>
      <c r="S47" s="198">
        <f>S46</f>
        <v>56</v>
      </c>
      <c r="T47" s="215" t="s">
        <v>4896</v>
      </c>
      <c r="U47" s="215">
        <v>113.1</v>
      </c>
      <c r="V47" s="215">
        <f t="shared" si="6"/>
        <v>119.22537205479452</v>
      </c>
      <c r="W47" s="32">
        <f t="shared" si="14"/>
        <v>121.60987949589041</v>
      </c>
      <c r="X47" s="32">
        <f t="shared" si="15"/>
        <v>123.9943869369863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127428</v>
      </c>
      <c r="O48" s="69">
        <v>888</v>
      </c>
      <c r="P48" s="69">
        <v>143.5</v>
      </c>
      <c r="Q48" s="169">
        <v>5809833</v>
      </c>
      <c r="R48" s="215" t="s">
        <v>4912</v>
      </c>
      <c r="S48" s="198">
        <f>S47-2</f>
        <v>54</v>
      </c>
      <c r="T48" s="215" t="s">
        <v>4916</v>
      </c>
      <c r="U48" s="215">
        <v>587.29999999999995</v>
      </c>
      <c r="V48" s="215">
        <f t="shared" si="6"/>
        <v>618.20646136986295</v>
      </c>
      <c r="W48" s="32">
        <f t="shared" si="14"/>
        <v>630.57059059726021</v>
      </c>
      <c r="X48" s="32">
        <f t="shared" si="15"/>
        <v>642.93471982465746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63775</v>
      </c>
      <c r="O49" s="69">
        <v>50</v>
      </c>
      <c r="P49" s="69">
        <v>1275.5</v>
      </c>
      <c r="Q49" s="169">
        <v>22263826</v>
      </c>
      <c r="R49" s="215" t="s">
        <v>4912</v>
      </c>
      <c r="S49" s="198">
        <f>S48</f>
        <v>54</v>
      </c>
      <c r="T49" s="215" t="s">
        <v>4917</v>
      </c>
      <c r="U49" s="215">
        <v>3560</v>
      </c>
      <c r="V49" s="215">
        <f t="shared" si="6"/>
        <v>3747.3437808219178</v>
      </c>
      <c r="W49" s="32">
        <f t="shared" si="14"/>
        <v>3822.2906564383561</v>
      </c>
      <c r="X49" s="32">
        <f t="shared" si="15"/>
        <v>3897.2375320547944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53</v>
      </c>
      <c r="T50" s="215" t="s">
        <v>4920</v>
      </c>
      <c r="U50" s="215">
        <v>3605.5</v>
      </c>
      <c r="V50" s="215">
        <f t="shared" si="6"/>
        <v>3792.4723397260277</v>
      </c>
      <c r="W50" s="32">
        <f t="shared" si="14"/>
        <v>3868.3217865205484</v>
      </c>
      <c r="X50" s="32">
        <f t="shared" si="15"/>
        <v>3944.171233315069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74122123</v>
      </c>
      <c r="O51" s="69">
        <v>106835</v>
      </c>
      <c r="P51" s="69">
        <v>693.8</v>
      </c>
      <c r="Q51" s="169">
        <v>931614</v>
      </c>
      <c r="R51" s="215" t="s">
        <v>4926</v>
      </c>
      <c r="S51" s="198">
        <f>S50-8</f>
        <v>45</v>
      </c>
      <c r="T51" s="215" t="s">
        <v>4928</v>
      </c>
      <c r="U51" s="215">
        <v>4437</v>
      </c>
      <c r="V51" s="215">
        <f t="shared" si="6"/>
        <v>4639.8620712328775</v>
      </c>
      <c r="W51" s="32">
        <f t="shared" si="14"/>
        <v>4732.6593126575353</v>
      </c>
      <c r="X51" s="32">
        <f t="shared" si="15"/>
        <v>4825.4565540821932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0</v>
      </c>
      <c r="O52" s="69">
        <v>0</v>
      </c>
      <c r="P52" s="69">
        <v>4982.5</v>
      </c>
      <c r="Q52" s="169">
        <v>533965</v>
      </c>
      <c r="R52" s="215" t="s">
        <v>4968</v>
      </c>
      <c r="S52" s="198">
        <f>S51-12</f>
        <v>33</v>
      </c>
      <c r="T52" s="215" t="s">
        <v>4969</v>
      </c>
      <c r="U52" s="215">
        <v>4429.2</v>
      </c>
      <c r="V52" s="215">
        <f t="shared" si="6"/>
        <v>4590.9325413698634</v>
      </c>
      <c r="W52" s="32">
        <f t="shared" si="14"/>
        <v>4682.7511921972609</v>
      </c>
      <c r="X52" s="32">
        <f t="shared" si="15"/>
        <v>4774.5698430246584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16277552.699999999</v>
      </c>
      <c r="O53" s="69">
        <v>2913</v>
      </c>
      <c r="P53" s="69">
        <v>5587.9</v>
      </c>
      <c r="Q53" s="169">
        <v>164707</v>
      </c>
      <c r="R53" s="215" t="s">
        <v>4981</v>
      </c>
      <c r="S53" s="198">
        <f>S52-6</f>
        <v>27</v>
      </c>
      <c r="T53" s="215" t="s">
        <v>4982</v>
      </c>
      <c r="U53" s="215">
        <v>633</v>
      </c>
      <c r="V53" s="215">
        <f t="shared" si="6"/>
        <v>653.20050410958913</v>
      </c>
      <c r="W53" s="32">
        <f t="shared" si="14"/>
        <v>666.2645141917809</v>
      </c>
      <c r="X53" s="32">
        <f t="shared" si="15"/>
        <v>679.32852427397268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4560930</v>
      </c>
      <c r="O54" s="69">
        <v>5100</v>
      </c>
      <c r="P54" s="69">
        <v>894.3</v>
      </c>
      <c r="Q54" s="169">
        <v>466781</v>
      </c>
      <c r="R54" s="215" t="s">
        <v>5044</v>
      </c>
      <c r="S54" s="198">
        <f>S53-16</f>
        <v>11</v>
      </c>
      <c r="T54" s="215" t="s">
        <v>5045</v>
      </c>
      <c r="U54" s="215">
        <v>4005.4</v>
      </c>
      <c r="V54" s="215">
        <f t="shared" si="6"/>
        <v>4084.0594717808222</v>
      </c>
      <c r="W54" s="32">
        <f t="shared" si="14"/>
        <v>4165.7406612164386</v>
      </c>
      <c r="X54" s="32">
        <f t="shared" si="15"/>
        <v>4247.4218506520556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4587</v>
      </c>
      <c r="N55" s="113">
        <f t="shared" si="16"/>
        <v>257955.59999999998</v>
      </c>
      <c r="O55" s="69">
        <v>1148</v>
      </c>
      <c r="P55" s="69">
        <v>224.7</v>
      </c>
      <c r="Q55" s="169">
        <v>1204691</v>
      </c>
      <c r="R55" s="215" t="s">
        <v>5051</v>
      </c>
      <c r="S55" s="198">
        <f>S54-4</f>
        <v>7</v>
      </c>
      <c r="T55" s="215" t="s">
        <v>5052</v>
      </c>
      <c r="U55" s="215">
        <v>218.5</v>
      </c>
      <c r="V55" s="215">
        <f t="shared" si="6"/>
        <v>222.12051506849318</v>
      </c>
      <c r="W55" s="32">
        <f t="shared" si="14"/>
        <v>226.56292536986305</v>
      </c>
      <c r="X55" s="32">
        <f t="shared" si="15"/>
        <v>231.0053356712329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56"/>
      <c r="L56" s="117"/>
      <c r="M56" s="19" t="s">
        <v>4179</v>
      </c>
      <c r="N56" s="113">
        <f t="shared" si="16"/>
        <v>265669185.20000002</v>
      </c>
      <c r="O56" s="99">
        <v>1346524</v>
      </c>
      <c r="P56" s="99">
        <v>197.3</v>
      </c>
      <c r="Q56" s="169">
        <v>15011877</v>
      </c>
      <c r="R56" s="215" t="s">
        <v>5055</v>
      </c>
      <c r="S56" s="198">
        <f>S55-3</f>
        <v>4</v>
      </c>
      <c r="T56" s="215" t="s">
        <v>5062</v>
      </c>
      <c r="U56" s="215">
        <v>197.1</v>
      </c>
      <c r="V56" s="215">
        <f t="shared" si="6"/>
        <v>199.91232000000002</v>
      </c>
      <c r="W56" s="32">
        <f t="shared" si="14"/>
        <v>203.91056640000002</v>
      </c>
      <c r="X56" s="32">
        <f t="shared" si="15"/>
        <v>207.90881280000002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1086</v>
      </c>
      <c r="N57" s="117">
        <f t="shared" si="16"/>
        <v>0</v>
      </c>
      <c r="O57" s="69">
        <v>0</v>
      </c>
      <c r="P57" s="69">
        <v>515000</v>
      </c>
      <c r="Q57" s="169">
        <v>34988328</v>
      </c>
      <c r="R57" s="215" t="s">
        <v>5055</v>
      </c>
      <c r="S57" s="198">
        <f>S56</f>
        <v>4</v>
      </c>
      <c r="T57" s="215" t="s">
        <v>5063</v>
      </c>
      <c r="U57" s="215">
        <v>3800.4</v>
      </c>
      <c r="V57" s="215">
        <f t="shared" si="6"/>
        <v>3854.6259813698639</v>
      </c>
      <c r="W57" s="32">
        <f t="shared" si="14"/>
        <v>3931.7185009972613</v>
      </c>
      <c r="X57" s="32">
        <f t="shared" si="15"/>
        <v>4008.8110206246588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73"/>
      <c r="N58" s="117"/>
      <c r="O58" s="122"/>
      <c r="P58" s="122"/>
      <c r="Q58" s="169">
        <v>397054</v>
      </c>
      <c r="R58" s="215" t="s">
        <v>5065</v>
      </c>
      <c r="S58" s="198">
        <f>S57-4</f>
        <v>0</v>
      </c>
      <c r="T58" s="215" t="s">
        <v>5066</v>
      </c>
      <c r="U58" s="215">
        <v>3800.2</v>
      </c>
      <c r="V58" s="215">
        <f t="shared" si="6"/>
        <v>3842.76224</v>
      </c>
      <c r="W58" s="32">
        <f t="shared" si="14"/>
        <v>3919.6174848000001</v>
      </c>
      <c r="X58" s="32">
        <f t="shared" si="15"/>
        <v>3996.4727296000001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68" t="s">
        <v>1152</v>
      </c>
      <c r="N59" s="117">
        <v>14908</v>
      </c>
      <c r="O59" s="96"/>
      <c r="P59" t="s">
        <v>25</v>
      </c>
      <c r="Q59" s="169"/>
      <c r="R59" s="168"/>
      <c r="S59" s="168"/>
      <c r="T59" s="168"/>
      <c r="U59" s="168"/>
      <c r="V59" s="215">
        <f t="shared" si="6"/>
        <v>0</v>
      </c>
      <c r="W59" s="32">
        <f t="shared" si="14"/>
        <v>0</v>
      </c>
      <c r="X59" s="32">
        <f t="shared" si="15"/>
        <v>0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99"/>
      <c r="M60" s="168" t="s">
        <v>1153</v>
      </c>
      <c r="N60" s="117">
        <v>5282</v>
      </c>
      <c r="O60" s="96"/>
      <c r="P60" t="s">
        <v>25</v>
      </c>
      <c r="Q60" s="169">
        <f>SUM(N21:N26)-SUM(Q20:Q59)</f>
        <v>56899022.600000024</v>
      </c>
      <c r="R60" s="168"/>
      <c r="S60" s="168" t="s">
        <v>25</v>
      </c>
      <c r="T60" s="168"/>
      <c r="U60" s="168"/>
      <c r="V60" s="168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O61" s="115"/>
      <c r="P61" s="115"/>
      <c r="R61" s="115"/>
      <c r="S61" s="115" t="s">
        <v>25</v>
      </c>
      <c r="T61" s="115"/>
      <c r="U61" s="115"/>
      <c r="V61" s="115"/>
      <c r="W61" s="195"/>
      <c r="X61" s="195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25</v>
      </c>
      <c r="L62" s="117"/>
      <c r="M62" s="168" t="s">
        <v>4180</v>
      </c>
      <c r="N62" s="113">
        <f>-O62*P62</f>
        <v>-10593826.200000001</v>
      </c>
      <c r="O62" s="99">
        <v>53694</v>
      </c>
      <c r="P62" s="99">
        <f>P56</f>
        <v>197.3</v>
      </c>
      <c r="Q62" s="96"/>
      <c r="R62" s="115"/>
      <c r="S62" s="115"/>
      <c r="T62" s="115" t="s">
        <v>25</v>
      </c>
      <c r="U62" s="115"/>
      <c r="V62" s="115"/>
      <c r="W62" s="195"/>
      <c r="X62" s="195"/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Q63" s="168" t="s">
        <v>657</v>
      </c>
      <c r="R63" s="168"/>
      <c r="S63" s="168"/>
      <c r="T63" s="168"/>
      <c r="U63" s="168"/>
      <c r="V63" s="168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 ht="30">
      <c r="E64" s="26"/>
      <c r="K64" s="168"/>
      <c r="L64" s="117"/>
      <c r="M64" s="168"/>
      <c r="N64" s="113"/>
      <c r="Q64" s="168" t="s">
        <v>267</v>
      </c>
      <c r="R64" s="168" t="s">
        <v>180</v>
      </c>
      <c r="S64" s="168" t="s">
        <v>183</v>
      </c>
      <c r="T64" s="168" t="s">
        <v>8</v>
      </c>
      <c r="U64" s="168" t="s">
        <v>4363</v>
      </c>
      <c r="V64" s="73" t="s">
        <v>4365</v>
      </c>
      <c r="W64" s="32">
        <v>2</v>
      </c>
      <c r="X64" s="32">
        <v>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 t="s">
        <v>4446</v>
      </c>
      <c r="N65" s="113">
        <f>-S177</f>
        <v>-17476802.264852647</v>
      </c>
      <c r="Q65" s="168">
        <v>0</v>
      </c>
      <c r="R65" s="168" t="s">
        <v>4172</v>
      </c>
      <c r="S65" s="168">
        <f>S95</f>
        <v>230</v>
      </c>
      <c r="T65" s="168"/>
      <c r="U65" s="168"/>
      <c r="V65" s="73"/>
      <c r="W65" s="32"/>
      <c r="X65" s="32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7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 t="s">
        <v>4733</v>
      </c>
      <c r="N66" s="113">
        <f>50*P57</f>
        <v>25750000</v>
      </c>
      <c r="P66" t="s">
        <v>25</v>
      </c>
      <c r="Q66" s="169">
        <v>863944</v>
      </c>
      <c r="R66" s="168" t="s">
        <v>4438</v>
      </c>
      <c r="S66" s="168">
        <f>S65-62</f>
        <v>168</v>
      </c>
      <c r="T66" s="191" t="s">
        <v>4510</v>
      </c>
      <c r="U66" s="168">
        <v>184.6</v>
      </c>
      <c r="V66" s="168">
        <f t="shared" ref="V66:V86" si="18">U66*(1+$N$88+$Q$15*S66/36500)</f>
        <v>210.4581610958904</v>
      </c>
      <c r="W66" s="32">
        <f t="shared" ref="W66:W86" si="19">V66*(1+$W$19/100)</f>
        <v>214.66732431780821</v>
      </c>
      <c r="X66" s="32">
        <f t="shared" ref="X66:X86" si="20">V66*(1+$X$19/100)</f>
        <v>218.87648753972601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7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/>
      <c r="N67" s="113"/>
      <c r="P67" t="s">
        <v>25</v>
      </c>
      <c r="Q67" s="169">
        <v>1692313</v>
      </c>
      <c r="R67" s="168" t="s">
        <v>4513</v>
      </c>
      <c r="S67" s="198">
        <f>S66-21</f>
        <v>147</v>
      </c>
      <c r="T67" s="190" t="s">
        <v>4514</v>
      </c>
      <c r="U67" s="168">
        <v>168.5</v>
      </c>
      <c r="V67" s="168">
        <f t="shared" si="18"/>
        <v>189.38846027397261</v>
      </c>
      <c r="W67" s="32">
        <f t="shared" si="19"/>
        <v>193.17622947945208</v>
      </c>
      <c r="X67" s="32">
        <f t="shared" si="20"/>
        <v>196.96399868493151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7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 t="s">
        <v>598</v>
      </c>
      <c r="L68" s="113">
        <f>SUM(L16:L54)</f>
        <v>501317267.44331682</v>
      </c>
      <c r="M68" s="168"/>
      <c r="N68" s="113">
        <f>SUM(N16:N67)</f>
        <v>558469645.39183056</v>
      </c>
      <c r="Q68" s="169">
        <v>101153</v>
      </c>
      <c r="R68" s="168" t="s">
        <v>4516</v>
      </c>
      <c r="S68" s="198">
        <f>S67-1</f>
        <v>146</v>
      </c>
      <c r="T68" s="190" t="s">
        <v>4518</v>
      </c>
      <c r="U68" s="168">
        <v>166.7</v>
      </c>
      <c r="V68" s="168">
        <f t="shared" si="18"/>
        <v>187.23744000000002</v>
      </c>
      <c r="W68" s="32">
        <f t="shared" si="19"/>
        <v>190.98218880000002</v>
      </c>
      <c r="X68" s="32">
        <f t="shared" si="20"/>
        <v>194.72693760000004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7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 t="s">
        <v>599</v>
      </c>
      <c r="L69" s="113">
        <f>L16+L17+L26</f>
        <v>663577</v>
      </c>
      <c r="M69" s="168"/>
      <c r="N69" s="113">
        <f>N16+N17+N37</f>
        <v>641053</v>
      </c>
      <c r="Q69" s="169">
        <v>183105</v>
      </c>
      <c r="R69" s="168" t="s">
        <v>4231</v>
      </c>
      <c r="S69" s="198">
        <f>S68-1</f>
        <v>145</v>
      </c>
      <c r="T69" s="190" t="s">
        <v>4522</v>
      </c>
      <c r="U69" s="168">
        <v>166.6</v>
      </c>
      <c r="V69" s="168">
        <f t="shared" si="18"/>
        <v>186.99731726027397</v>
      </c>
      <c r="W69" s="32">
        <f t="shared" si="19"/>
        <v>190.73726360547946</v>
      </c>
      <c r="X69" s="32">
        <f t="shared" si="20"/>
        <v>194.47720995068494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7"/>
        <v>191</v>
      </c>
      <c r="AM69" s="113">
        <f t="shared" si="11"/>
        <v>6398500000</v>
      </c>
      <c r="AN69" s="20"/>
    </row>
    <row r="70" spans="1:40">
      <c r="G70" t="s">
        <v>4101</v>
      </c>
      <c r="K70" s="56" t="s">
        <v>716</v>
      </c>
      <c r="L70" s="1">
        <f>L68+N7</f>
        <v>571317267.44331682</v>
      </c>
      <c r="M70" s="113"/>
      <c r="N70" s="168"/>
      <c r="O70" s="115"/>
      <c r="P70" s="115"/>
      <c r="Q70" s="169">
        <v>168846</v>
      </c>
      <c r="R70" s="168" t="s">
        <v>3691</v>
      </c>
      <c r="S70" s="198">
        <f>S69-30</f>
        <v>115</v>
      </c>
      <c r="T70" s="190" t="s">
        <v>4622</v>
      </c>
      <c r="U70" s="168">
        <v>172.2</v>
      </c>
      <c r="V70" s="168">
        <f t="shared" si="18"/>
        <v>189.31998246575341</v>
      </c>
      <c r="W70" s="32">
        <f t="shared" si="19"/>
        <v>193.10638211506847</v>
      </c>
      <c r="X70" s="32">
        <f t="shared" si="20"/>
        <v>196.89278176438356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7"/>
        <v>190</v>
      </c>
      <c r="AM70" s="117">
        <f t="shared" si="11"/>
        <v>2280000000</v>
      </c>
      <c r="AN70" s="20"/>
    </row>
    <row r="71" spans="1:40">
      <c r="G71" t="s">
        <v>4102</v>
      </c>
      <c r="O71" s="96"/>
      <c r="P71" s="96"/>
      <c r="Q71" s="169">
        <v>250962</v>
      </c>
      <c r="R71" s="168" t="s">
        <v>4664</v>
      </c>
      <c r="S71" s="198">
        <f>S70-10</f>
        <v>105</v>
      </c>
      <c r="T71" s="190" t="s">
        <v>4665</v>
      </c>
      <c r="U71" s="168">
        <v>5315.5</v>
      </c>
      <c r="V71" s="168">
        <f t="shared" si="18"/>
        <v>5803.1862027397265</v>
      </c>
      <c r="W71" s="32">
        <f t="shared" si="19"/>
        <v>5919.2499267945213</v>
      </c>
      <c r="X71" s="32">
        <f t="shared" si="20"/>
        <v>6035.3136508493153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7"/>
        <v>189</v>
      </c>
      <c r="AM71" s="117">
        <f t="shared" si="11"/>
        <v>2929500000</v>
      </c>
      <c r="AN71" s="20"/>
    </row>
    <row r="72" spans="1:40">
      <c r="G72" t="s">
        <v>4106</v>
      </c>
      <c r="M72" s="25"/>
      <c r="O72" t="s">
        <v>25</v>
      </c>
      <c r="Q72" s="169">
        <v>352231</v>
      </c>
      <c r="R72" s="215" t="s">
        <v>4710</v>
      </c>
      <c r="S72" s="198">
        <f>S71-7</f>
        <v>98</v>
      </c>
      <c r="T72" s="190" t="s">
        <v>4712</v>
      </c>
      <c r="U72" s="215">
        <v>502.3</v>
      </c>
      <c r="V72" s="215">
        <f t="shared" si="18"/>
        <v>545.68771068493163</v>
      </c>
      <c r="W72" s="32">
        <f t="shared" si="19"/>
        <v>556.6014648986303</v>
      </c>
      <c r="X72" s="32">
        <f t="shared" si="20"/>
        <v>567.51521911232896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7"/>
        <v>185</v>
      </c>
      <c r="AM72" s="117">
        <f t="shared" si="11"/>
        <v>27750000</v>
      </c>
      <c r="AN72" s="20"/>
    </row>
    <row r="73" spans="1:40">
      <c r="G73" t="s">
        <v>4105</v>
      </c>
      <c r="M73" s="25" t="s">
        <v>4080</v>
      </c>
      <c r="N73" s="99" t="s">
        <v>452</v>
      </c>
      <c r="O73" s="113">
        <f>O56*25</f>
        <v>33663100</v>
      </c>
      <c r="P73" s="115"/>
      <c r="Q73" s="169">
        <v>165067</v>
      </c>
      <c r="R73" s="215" t="s">
        <v>4759</v>
      </c>
      <c r="S73" s="198">
        <f>S72-16</f>
        <v>82</v>
      </c>
      <c r="T73" s="190" t="s">
        <v>4766</v>
      </c>
      <c r="U73" s="215">
        <v>3095.9</v>
      </c>
      <c r="V73" s="215">
        <f t="shared" si="18"/>
        <v>3325.3189128767126</v>
      </c>
      <c r="W73" s="32">
        <f t="shared" si="19"/>
        <v>3391.825291134247</v>
      </c>
      <c r="X73" s="32">
        <f t="shared" si="20"/>
        <v>3458.3316693917814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7"/>
        <v>184</v>
      </c>
      <c r="AM73" s="180">
        <f t="shared" si="11"/>
        <v>5336000000</v>
      </c>
      <c r="AN73" s="179" t="s">
        <v>4186</v>
      </c>
    </row>
    <row r="74" spans="1:40">
      <c r="M74" s="177"/>
      <c r="N74" s="99" t="s">
        <v>1087</v>
      </c>
      <c r="O74" s="113">
        <f>O33*25</f>
        <v>3278675</v>
      </c>
      <c r="P74" s="115"/>
      <c r="Q74" s="169">
        <v>62110</v>
      </c>
      <c r="R74" s="215" t="s">
        <v>4893</v>
      </c>
      <c r="S74" s="198">
        <f>S73-26</f>
        <v>56</v>
      </c>
      <c r="T74" s="190" t="s">
        <v>4897</v>
      </c>
      <c r="U74" s="215">
        <v>270</v>
      </c>
      <c r="V74" s="215">
        <f t="shared" si="18"/>
        <v>284.62290410958906</v>
      </c>
      <c r="W74" s="32">
        <f t="shared" si="19"/>
        <v>290.31536219178082</v>
      </c>
      <c r="X74" s="32">
        <f t="shared" si="20"/>
        <v>296.00782027397264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7"/>
        <v>169</v>
      </c>
      <c r="AM74" s="117">
        <f t="shared" si="11"/>
        <v>-21970000</v>
      </c>
      <c r="AN74" s="20" t="s">
        <v>4212</v>
      </c>
    </row>
    <row r="75" spans="1:40">
      <c r="M75" s="96" t="s">
        <v>4858</v>
      </c>
      <c r="N75" s="99" t="s">
        <v>751</v>
      </c>
      <c r="O75" s="113">
        <f>O21*25</f>
        <v>4093225</v>
      </c>
      <c r="Q75" s="169">
        <v>48217</v>
      </c>
      <c r="R75" s="215" t="s">
        <v>4912</v>
      </c>
      <c r="S75" s="198">
        <f>S74-2</f>
        <v>54</v>
      </c>
      <c r="T75" s="190" t="s">
        <v>4918</v>
      </c>
      <c r="U75" s="215">
        <v>400</v>
      </c>
      <c r="V75" s="215">
        <f t="shared" si="18"/>
        <v>421.04986301369865</v>
      </c>
      <c r="W75" s="32">
        <f t="shared" si="19"/>
        <v>429.47086027397262</v>
      </c>
      <c r="X75" s="32">
        <f t="shared" si="20"/>
        <v>437.89185753424664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7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22" t="s">
        <v>4411</v>
      </c>
      <c r="O76" s="114"/>
      <c r="Q76" s="169">
        <v>115911</v>
      </c>
      <c r="R76" s="215" t="s">
        <v>981</v>
      </c>
      <c r="S76" s="198">
        <f>S75-1</f>
        <v>53</v>
      </c>
      <c r="T76" s="190" t="s">
        <v>4921</v>
      </c>
      <c r="U76" s="215">
        <v>3605.5</v>
      </c>
      <c r="V76" s="215">
        <f t="shared" si="18"/>
        <v>3792.4723397260277</v>
      </c>
      <c r="W76" s="32">
        <f t="shared" si="19"/>
        <v>3868.3217865205484</v>
      </c>
      <c r="X76" s="32">
        <f t="shared" si="20"/>
        <v>3944.171233315069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7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122" t="s">
        <v>4507</v>
      </c>
      <c r="N77" s="96"/>
      <c r="Q77" s="169">
        <v>102339</v>
      </c>
      <c r="R77" s="215" t="s">
        <v>4926</v>
      </c>
      <c r="S77" s="198">
        <f>S76-8</f>
        <v>45</v>
      </c>
      <c r="T77" s="190" t="s">
        <v>4927</v>
      </c>
      <c r="U77" s="215">
        <v>4429</v>
      </c>
      <c r="V77" s="215">
        <f t="shared" si="18"/>
        <v>4631.4963068493162</v>
      </c>
      <c r="W77" s="32">
        <f t="shared" si="19"/>
        <v>4724.126232986303</v>
      </c>
      <c r="X77" s="32">
        <f t="shared" si="20"/>
        <v>4816.7561591232889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7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4577</v>
      </c>
      <c r="N78" s="96"/>
      <c r="P78" t="s">
        <v>25</v>
      </c>
      <c r="Q78" s="169">
        <v>3792615</v>
      </c>
      <c r="R78" s="5" t="s">
        <v>4941</v>
      </c>
      <c r="S78" s="198">
        <f>S77-4</f>
        <v>41</v>
      </c>
      <c r="T78" s="190" t="s">
        <v>4944</v>
      </c>
      <c r="U78" s="215">
        <v>3775.1</v>
      </c>
      <c r="V78" s="215">
        <f t="shared" si="18"/>
        <v>3936.1157720547949</v>
      </c>
      <c r="W78" s="32">
        <f t="shared" si="19"/>
        <v>4014.8380874958907</v>
      </c>
      <c r="X78" s="32">
        <f t="shared" si="20"/>
        <v>4093.560402936987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 ht="45">
      <c r="D79" s="1" t="s">
        <v>306</v>
      </c>
      <c r="E79" s="1">
        <v>80000</v>
      </c>
      <c r="K79" s="214" t="s">
        <v>4782</v>
      </c>
      <c r="L79" s="22" t="s">
        <v>4749</v>
      </c>
      <c r="M79" s="208" t="s">
        <v>4724</v>
      </c>
      <c r="N79" s="96"/>
      <c r="P79" s="115"/>
      <c r="Q79" s="169">
        <v>6278475</v>
      </c>
      <c r="R79" s="5" t="s">
        <v>4941</v>
      </c>
      <c r="S79" s="198">
        <f>S78</f>
        <v>41</v>
      </c>
      <c r="T79" s="190" t="s">
        <v>4945</v>
      </c>
      <c r="U79" s="215">
        <v>6250.1</v>
      </c>
      <c r="V79" s="215">
        <f t="shared" si="18"/>
        <v>6516.6796076712335</v>
      </c>
      <c r="W79" s="32">
        <f t="shared" si="19"/>
        <v>6647.0131998246579</v>
      </c>
      <c r="X79" s="32">
        <f t="shared" si="20"/>
        <v>6777.3467919780833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4783</v>
      </c>
      <c r="M80" s="122"/>
      <c r="N80" s="96"/>
      <c r="P80" s="115" t="s">
        <v>25</v>
      </c>
      <c r="Q80" s="169">
        <v>13517</v>
      </c>
      <c r="R80" s="5" t="s">
        <v>4941</v>
      </c>
      <c r="S80" s="198">
        <f>S79</f>
        <v>41</v>
      </c>
      <c r="T80" s="190" t="s">
        <v>4946</v>
      </c>
      <c r="U80" s="215">
        <v>4485.1000000000004</v>
      </c>
      <c r="V80" s="215">
        <f t="shared" si="18"/>
        <v>4676.3987309589047</v>
      </c>
      <c r="W80" s="32">
        <f t="shared" si="19"/>
        <v>4769.9267055780829</v>
      </c>
      <c r="X80" s="32">
        <f t="shared" si="20"/>
        <v>4863.454680197261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t="s">
        <v>4580</v>
      </c>
      <c r="L81" s="96"/>
      <c r="M81" s="122"/>
      <c r="O81" t="s">
        <v>25</v>
      </c>
      <c r="P81" s="115"/>
      <c r="Q81" s="169">
        <v>19918023</v>
      </c>
      <c r="R81" s="5" t="s">
        <v>4941</v>
      </c>
      <c r="S81" s="198">
        <f>S80</f>
        <v>41</v>
      </c>
      <c r="T81" s="190" t="s">
        <v>4947</v>
      </c>
      <c r="U81" s="215">
        <v>183</v>
      </c>
      <c r="V81" s="215">
        <f t="shared" si="18"/>
        <v>190.80532602739729</v>
      </c>
      <c r="W81" s="32">
        <f t="shared" si="19"/>
        <v>194.62143254794523</v>
      </c>
      <c r="X81" s="32">
        <f t="shared" si="20"/>
        <v>198.43753906849318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7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4859</v>
      </c>
      <c r="M82" s="96">
        <f>O56+O21+O33-O62</f>
        <v>1587706</v>
      </c>
      <c r="N82" s="113">
        <f>M82*P56</f>
        <v>313254393.80000001</v>
      </c>
      <c r="P82" s="115"/>
      <c r="Q82" s="169">
        <v>529520</v>
      </c>
      <c r="R82" s="5" t="s">
        <v>4968</v>
      </c>
      <c r="S82" s="198">
        <f>S81-8</f>
        <v>33</v>
      </c>
      <c r="T82" s="190" t="s">
        <v>4970</v>
      </c>
      <c r="U82" s="215">
        <v>4429.2</v>
      </c>
      <c r="V82" s="215">
        <f t="shared" si="18"/>
        <v>4590.9325413698634</v>
      </c>
      <c r="W82" s="32">
        <f t="shared" si="19"/>
        <v>4682.7511921972609</v>
      </c>
      <c r="X82" s="32">
        <f t="shared" si="20"/>
        <v>4774.5698430246584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4860</v>
      </c>
      <c r="M83" t="s">
        <v>4267</v>
      </c>
      <c r="P83" s="115"/>
      <c r="Q83" s="169">
        <v>168390</v>
      </c>
      <c r="R83" s="19" t="s">
        <v>4981</v>
      </c>
      <c r="S83" s="198">
        <f>S82-6</f>
        <v>27</v>
      </c>
      <c r="T83" s="190" t="s">
        <v>4983</v>
      </c>
      <c r="U83" s="215">
        <v>632.5</v>
      </c>
      <c r="V83" s="215">
        <f t="shared" si="18"/>
        <v>652.68454794520562</v>
      </c>
      <c r="W83" s="32">
        <f t="shared" si="19"/>
        <v>665.73823890410972</v>
      </c>
      <c r="X83" s="32">
        <f t="shared" si="20"/>
        <v>678.79192986301382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7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4861</v>
      </c>
      <c r="M84" t="s">
        <v>4582</v>
      </c>
      <c r="N84" t="s">
        <v>25</v>
      </c>
      <c r="P84" s="115"/>
      <c r="Q84" s="169">
        <v>466781</v>
      </c>
      <c r="R84" s="19" t="s">
        <v>5044</v>
      </c>
      <c r="S84" s="198">
        <f>S83-16</f>
        <v>11</v>
      </c>
      <c r="T84" s="190" t="s">
        <v>5045</v>
      </c>
      <c r="U84" s="215">
        <v>4005.4</v>
      </c>
      <c r="V84" s="215">
        <f t="shared" si="18"/>
        <v>4084.0594717808222</v>
      </c>
      <c r="W84" s="32">
        <f t="shared" si="19"/>
        <v>4165.7406612164386</v>
      </c>
      <c r="X84" s="32">
        <f t="shared" si="20"/>
        <v>4247.4218506520556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7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4540</v>
      </c>
      <c r="P85" s="115"/>
      <c r="Q85" s="169">
        <v>1200301</v>
      </c>
      <c r="R85" s="19" t="s">
        <v>5051</v>
      </c>
      <c r="S85" s="198">
        <f>S84-4</f>
        <v>7</v>
      </c>
      <c r="T85" s="190" t="s">
        <v>5053</v>
      </c>
      <c r="U85" s="215">
        <v>218.5</v>
      </c>
      <c r="V85" s="215">
        <f t="shared" si="18"/>
        <v>222.12051506849318</v>
      </c>
      <c r="W85" s="32">
        <f t="shared" si="19"/>
        <v>226.56292536986305</v>
      </c>
      <c r="X85" s="32">
        <f t="shared" si="20"/>
        <v>231.0053356712329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7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4586</v>
      </c>
      <c r="M86" t="s">
        <v>949</v>
      </c>
      <c r="N86">
        <v>6.3E-3</v>
      </c>
      <c r="P86" s="115"/>
      <c r="Q86" s="169"/>
      <c r="R86" s="168"/>
      <c r="S86" s="113"/>
      <c r="T86" s="113"/>
      <c r="U86" s="168"/>
      <c r="V86" s="168">
        <f t="shared" si="18"/>
        <v>0</v>
      </c>
      <c r="W86" s="32">
        <f t="shared" si="19"/>
        <v>0</v>
      </c>
      <c r="X86" s="32">
        <f t="shared" si="20"/>
        <v>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7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4539</v>
      </c>
      <c r="M87" t="s">
        <v>61</v>
      </c>
      <c r="N87">
        <v>4.8999999999999998E-3</v>
      </c>
      <c r="P87" s="115"/>
      <c r="Q87" s="113">
        <f>SUM(N29:N33)-SUM(Q65:Q86)</f>
        <v>2126553.3999999985</v>
      </c>
      <c r="R87" s="168"/>
      <c r="S87" s="168"/>
      <c r="T87" s="168"/>
      <c r="U87" s="168"/>
      <c r="V87" s="168"/>
      <c r="W87" s="32"/>
      <c r="X87" s="32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7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s="22" t="s">
        <v>4243</v>
      </c>
      <c r="M88" t="s">
        <v>6</v>
      </c>
      <c r="N88">
        <f>N86+N87</f>
        <v>1.12E-2</v>
      </c>
      <c r="O88" t="s">
        <v>25</v>
      </c>
      <c r="P88" t="s">
        <v>25</v>
      </c>
      <c r="R88" s="115"/>
      <c r="S88" s="115"/>
      <c r="T88" s="115" t="s">
        <v>25</v>
      </c>
      <c r="U88" s="115"/>
      <c r="V88" s="115"/>
      <c r="W88" s="195" t="s">
        <v>25</v>
      </c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4536</v>
      </c>
      <c r="Q89" t="s">
        <v>25</v>
      </c>
      <c r="S89" s="26" t="s">
        <v>25</v>
      </c>
      <c r="T89" t="s">
        <v>25</v>
      </c>
      <c r="U89" s="96" t="s">
        <v>25</v>
      </c>
      <c r="V89" s="115" t="s">
        <v>25</v>
      </c>
      <c r="W89" s="195" t="s">
        <v>25</v>
      </c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7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4296</v>
      </c>
      <c r="Q90" t="s">
        <v>25</v>
      </c>
      <c r="T90" t="s">
        <v>25</v>
      </c>
      <c r="W90" s="195" t="s">
        <v>25</v>
      </c>
      <c r="X90" s="195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7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25</v>
      </c>
      <c r="T91" t="s">
        <v>25</v>
      </c>
      <c r="U91" s="96" t="s">
        <v>25</v>
      </c>
      <c r="V91" t="s">
        <v>25</v>
      </c>
      <c r="W91" s="195"/>
      <c r="X91" s="195"/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7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s="96"/>
      <c r="M92" s="194" t="s">
        <v>4535</v>
      </c>
      <c r="W92" s="195"/>
      <c r="X92" s="195"/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7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 ht="30">
      <c r="D93" s="32" t="s">
        <v>320</v>
      </c>
      <c r="E93" s="1">
        <v>40000</v>
      </c>
      <c r="G93" s="47">
        <v>140000</v>
      </c>
      <c r="H93" s="48" t="s">
        <v>314</v>
      </c>
      <c r="K93" s="96"/>
      <c r="M93" t="s">
        <v>4536</v>
      </c>
      <c r="Q93" s="73" t="s">
        <v>4295</v>
      </c>
      <c r="R93" s="112"/>
      <c r="S93" s="112"/>
      <c r="T93" s="112"/>
      <c r="U93" s="168" t="s">
        <v>4363</v>
      </c>
      <c r="V93" s="36" t="s">
        <v>4365</v>
      </c>
      <c r="W93" s="32"/>
      <c r="X93" s="32"/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t="s">
        <v>4539</v>
      </c>
      <c r="Q94" s="112" t="s">
        <v>267</v>
      </c>
      <c r="R94" s="112" t="s">
        <v>180</v>
      </c>
      <c r="S94" s="112" t="s">
        <v>183</v>
      </c>
      <c r="T94" s="112" t="s">
        <v>8</v>
      </c>
      <c r="U94" s="168"/>
      <c r="V94" s="99"/>
      <c r="W94" s="32">
        <v>2</v>
      </c>
      <c r="X94" s="32">
        <v>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4540</v>
      </c>
      <c r="Q95" s="35">
        <v>184971545</v>
      </c>
      <c r="R95" s="5" t="s">
        <v>4172</v>
      </c>
      <c r="S95" s="5">
        <v>230</v>
      </c>
      <c r="T95" s="5" t="s">
        <v>4346</v>
      </c>
      <c r="U95" s="168">
        <v>192</v>
      </c>
      <c r="V95" s="99">
        <f t="shared" ref="V95:V126" si="21">U95*(1+$N$88+$Q$15*S95/36500)</f>
        <v>228.02656438356166</v>
      </c>
      <c r="W95" s="32">
        <f t="shared" ref="W95:W116" si="22">V95*(1+$W$19/100)</f>
        <v>232.5870956712329</v>
      </c>
      <c r="X95" s="32">
        <f t="shared" ref="X95:X116" si="23">V95*(1+$X$19/100)</f>
        <v>237.14762695890414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L96" s="96"/>
      <c r="M96" s="96"/>
      <c r="N96" s="96"/>
      <c r="Q96" s="35">
        <v>9560464</v>
      </c>
      <c r="R96" s="5" t="s">
        <v>4299</v>
      </c>
      <c r="S96" s="5">
        <f>S95-31</f>
        <v>199</v>
      </c>
      <c r="T96" s="5" t="s">
        <v>4312</v>
      </c>
      <c r="U96" s="168">
        <v>214.57</v>
      </c>
      <c r="V96" s="99">
        <f t="shared" si="21"/>
        <v>249.7289111232877</v>
      </c>
      <c r="W96" s="32">
        <f t="shared" si="22"/>
        <v>254.72348934575345</v>
      </c>
      <c r="X96" s="32">
        <f t="shared" si="23"/>
        <v>259.71806756821923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L97" s="96"/>
      <c r="M97" s="96"/>
      <c r="N97" s="96"/>
      <c r="Q97" s="35">
        <v>2000000</v>
      </c>
      <c r="R97" s="5" t="s">
        <v>4342</v>
      </c>
      <c r="S97" s="5">
        <f>S96-11</f>
        <v>188</v>
      </c>
      <c r="T97" s="5" t="s">
        <v>4345</v>
      </c>
      <c r="U97" s="168">
        <v>206.8</v>
      </c>
      <c r="V97" s="99">
        <f t="shared" si="21"/>
        <v>238.94068602739728</v>
      </c>
      <c r="W97" s="32">
        <f t="shared" si="22"/>
        <v>243.71949974794524</v>
      </c>
      <c r="X97" s="32">
        <f t="shared" si="23"/>
        <v>248.49831346849317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Q98" s="35">
        <v>1429825</v>
      </c>
      <c r="R98" s="5" t="s">
        <v>4372</v>
      </c>
      <c r="S98" s="5">
        <f>S97-7</f>
        <v>181</v>
      </c>
      <c r="T98" s="5" t="s">
        <v>4381</v>
      </c>
      <c r="U98" s="168">
        <v>203.9</v>
      </c>
      <c r="V98" s="99">
        <f t="shared" si="21"/>
        <v>234.49505534246578</v>
      </c>
      <c r="W98" s="32">
        <f t="shared" si="22"/>
        <v>239.18495644931511</v>
      </c>
      <c r="X98" s="32">
        <f t="shared" si="23"/>
        <v>243.87485755616441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 t="s">
        <v>25</v>
      </c>
      <c r="K99" s="96"/>
      <c r="Q99" s="35">
        <v>1420747</v>
      </c>
      <c r="R99" s="5" t="s">
        <v>4372</v>
      </c>
      <c r="S99" s="5">
        <f>S98</f>
        <v>181</v>
      </c>
      <c r="T99" s="5" t="s">
        <v>4383</v>
      </c>
      <c r="U99" s="168">
        <v>203.1</v>
      </c>
      <c r="V99" s="99">
        <f t="shared" si="21"/>
        <v>233.57501589041095</v>
      </c>
      <c r="W99" s="32">
        <f t="shared" si="22"/>
        <v>238.24651620821916</v>
      </c>
      <c r="X99" s="32">
        <f t="shared" si="23"/>
        <v>242.9180165260274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s="96"/>
      <c r="P100" s="115"/>
      <c r="Q100" s="35">
        <v>2412371</v>
      </c>
      <c r="R100" s="5" t="s">
        <v>4374</v>
      </c>
      <c r="S100" s="5">
        <f>S99-1</f>
        <v>180</v>
      </c>
      <c r="T100" s="5" t="s">
        <v>4390</v>
      </c>
      <c r="U100" s="168">
        <v>3930</v>
      </c>
      <c r="V100" s="99">
        <f t="shared" si="21"/>
        <v>4516.6790136986301</v>
      </c>
      <c r="W100" s="32">
        <f t="shared" si="22"/>
        <v>4607.0125939726031</v>
      </c>
      <c r="X100" s="32">
        <f t="shared" si="23"/>
        <v>4697.3461742465752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96"/>
      <c r="P101" s="128"/>
      <c r="Q101" s="35">
        <v>2010885</v>
      </c>
      <c r="R101" s="5" t="s">
        <v>4393</v>
      </c>
      <c r="S101" s="5">
        <f>S100-2</f>
        <v>178</v>
      </c>
      <c r="T101" s="5" t="s">
        <v>4399</v>
      </c>
      <c r="U101" s="168">
        <v>202.1</v>
      </c>
      <c r="V101" s="99">
        <f t="shared" si="21"/>
        <v>231.95985972602739</v>
      </c>
      <c r="W101" s="32">
        <f t="shared" si="22"/>
        <v>236.59905692054795</v>
      </c>
      <c r="X101" s="32">
        <f t="shared" si="23"/>
        <v>241.23825411506849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P102" s="128"/>
      <c r="Q102" s="35">
        <v>1994038</v>
      </c>
      <c r="R102" s="5" t="s">
        <v>4404</v>
      </c>
      <c r="S102" s="5">
        <f>S101-3</f>
        <v>175</v>
      </c>
      <c r="T102" s="5" t="s">
        <v>4420</v>
      </c>
      <c r="U102" s="168">
        <v>5560.3</v>
      </c>
      <c r="V102" s="99">
        <f t="shared" si="21"/>
        <v>6369.026592876713</v>
      </c>
      <c r="W102" s="32">
        <f t="shared" si="22"/>
        <v>6496.4071247342472</v>
      </c>
      <c r="X102" s="32">
        <f t="shared" si="23"/>
        <v>6623.7876565917813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L103" s="96"/>
      <c r="M103" s="96"/>
      <c r="N103" s="96"/>
      <c r="P103" s="115"/>
      <c r="Q103" s="35">
        <v>444</v>
      </c>
      <c r="R103" s="5" t="s">
        <v>4404</v>
      </c>
      <c r="S103" s="5">
        <f>S102</f>
        <v>175</v>
      </c>
      <c r="T103" s="5" t="s">
        <v>4611</v>
      </c>
      <c r="U103" s="168">
        <v>441.8</v>
      </c>
      <c r="V103" s="99">
        <f t="shared" si="21"/>
        <v>506.0582969863014</v>
      </c>
      <c r="W103" s="32">
        <f t="shared" si="22"/>
        <v>516.17946292602744</v>
      </c>
      <c r="X103" s="32">
        <f t="shared" si="23"/>
        <v>526.30062886575342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Q104" s="35">
        <v>1971103</v>
      </c>
      <c r="R104" s="5" t="s">
        <v>4415</v>
      </c>
      <c r="S104" s="5">
        <f>S103-1</f>
        <v>174</v>
      </c>
      <c r="T104" s="5" t="s">
        <v>4416</v>
      </c>
      <c r="U104" s="168">
        <v>196.2</v>
      </c>
      <c r="V104" s="99">
        <f t="shared" si="21"/>
        <v>224.5861084931507</v>
      </c>
      <c r="W104" s="32">
        <f t="shared" si="22"/>
        <v>229.07783066301371</v>
      </c>
      <c r="X104" s="32">
        <f t="shared" si="23"/>
        <v>233.56955283287675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Q105" s="35">
        <v>1049856</v>
      </c>
      <c r="R105" s="5" t="s">
        <v>4438</v>
      </c>
      <c r="S105" s="5">
        <f>S104-6</f>
        <v>168</v>
      </c>
      <c r="T105" s="5" t="s">
        <v>4477</v>
      </c>
      <c r="U105" s="168">
        <v>184.5</v>
      </c>
      <c r="V105" s="99">
        <f t="shared" si="21"/>
        <v>210.34415342465755</v>
      </c>
      <c r="W105" s="32">
        <f t="shared" si="22"/>
        <v>214.55103649315069</v>
      </c>
      <c r="X105" s="32">
        <f t="shared" si="23"/>
        <v>218.75791956164386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215" t="s">
        <v>4714</v>
      </c>
      <c r="G106" s="215" t="s">
        <v>941</v>
      </c>
      <c r="H106" s="215" t="s">
        <v>4695</v>
      </c>
      <c r="I106" s="215" t="s">
        <v>4694</v>
      </c>
      <c r="J106" s="32" t="s">
        <v>4541</v>
      </c>
      <c r="K106" s="215" t="s">
        <v>4684</v>
      </c>
      <c r="L106" s="32" t="s">
        <v>4686</v>
      </c>
      <c r="M106" s="32" t="s">
        <v>4656</v>
      </c>
      <c r="N106" s="215" t="s">
        <v>4657</v>
      </c>
      <c r="Q106" s="35">
        <v>1783234</v>
      </c>
      <c r="R106" s="5" t="s">
        <v>4440</v>
      </c>
      <c r="S106" s="5">
        <f>S105-2</f>
        <v>166</v>
      </c>
      <c r="T106" s="5" t="s">
        <v>4441</v>
      </c>
      <c r="U106" s="168">
        <v>177.5</v>
      </c>
      <c r="V106" s="99">
        <f t="shared" si="21"/>
        <v>202.09128767123289</v>
      </c>
      <c r="W106" s="32">
        <f t="shared" si="22"/>
        <v>206.13311342465755</v>
      </c>
      <c r="X106" s="32">
        <f t="shared" si="23"/>
        <v>210.17493917808221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200">
        <f t="shared" ref="F107:F112" si="25">$L$117/G107</f>
        <v>26102.382159148503</v>
      </c>
      <c r="G107" s="200">
        <f>P56</f>
        <v>197.3</v>
      </c>
      <c r="H107" s="200" t="s">
        <v>4840</v>
      </c>
      <c r="I107" s="200" t="s">
        <v>4839</v>
      </c>
      <c r="J107" s="216" t="s">
        <v>4243</v>
      </c>
      <c r="K107" s="200">
        <v>70</v>
      </c>
      <c r="L107" s="217">
        <f t="shared" ref="L107:L114" si="26">K107*$L$117</f>
        <v>360500000</v>
      </c>
      <c r="M107" s="217">
        <f>N21+N33+N56</f>
        <v>323848220</v>
      </c>
      <c r="N107" s="184">
        <f t="shared" ref="N107:N114" si="27">L107-M107</f>
        <v>36651780</v>
      </c>
      <c r="Q107" s="35">
        <v>1662335</v>
      </c>
      <c r="R107" s="5" t="s">
        <v>4444</v>
      </c>
      <c r="S107" s="5">
        <f>S106-5</f>
        <v>161</v>
      </c>
      <c r="T107" s="220" t="s">
        <v>4594</v>
      </c>
      <c r="U107" s="168">
        <v>190.3</v>
      </c>
      <c r="V107" s="99">
        <f t="shared" si="21"/>
        <v>215.93471342465756</v>
      </c>
      <c r="W107" s="32">
        <f t="shared" si="22"/>
        <v>220.25340769315071</v>
      </c>
      <c r="X107" s="32">
        <f t="shared" si="23"/>
        <v>224.57210196164388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>
        <f t="shared" si="25"/>
        <v>812.79000031564658</v>
      </c>
      <c r="G108" s="215">
        <f>P50</f>
        <v>6336.2</v>
      </c>
      <c r="H108" s="215" t="s">
        <v>5055</v>
      </c>
      <c r="I108" s="215" t="s">
        <v>5056</v>
      </c>
      <c r="J108" s="32" t="s">
        <v>4395</v>
      </c>
      <c r="K108" s="215">
        <v>34</v>
      </c>
      <c r="L108" s="1">
        <f t="shared" si="26"/>
        <v>175100000</v>
      </c>
      <c r="M108" s="1">
        <f>N26+N50+N29</f>
        <v>228819190.59999999</v>
      </c>
      <c r="N108" s="113">
        <f t="shared" si="27"/>
        <v>-53719190.599999994</v>
      </c>
      <c r="Q108" s="169">
        <v>499973</v>
      </c>
      <c r="R108" s="168" t="s">
        <v>4584</v>
      </c>
      <c r="S108" s="168">
        <f>S107-37</f>
        <v>124</v>
      </c>
      <c r="T108" s="73" t="s">
        <v>4585</v>
      </c>
      <c r="U108" s="168">
        <v>413</v>
      </c>
      <c r="V108" s="99">
        <f t="shared" si="21"/>
        <v>456.91151780821923</v>
      </c>
      <c r="W108" s="32">
        <f t="shared" si="22"/>
        <v>466.04974816438363</v>
      </c>
      <c r="X108" s="32">
        <f t="shared" si="23"/>
        <v>475.18797852054803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si="25"/>
        <v>1375.0200245634644</v>
      </c>
      <c r="G109" s="200">
        <f>P46</f>
        <v>3745.4</v>
      </c>
      <c r="H109" s="200" t="s">
        <v>3881</v>
      </c>
      <c r="I109" s="200" t="s">
        <v>4699</v>
      </c>
      <c r="J109" s="216" t="s">
        <v>4391</v>
      </c>
      <c r="K109" s="200">
        <v>42</v>
      </c>
      <c r="L109" s="217">
        <f t="shared" si="26"/>
        <v>216300000</v>
      </c>
      <c r="M109" s="217">
        <f>N46+N30+N22</f>
        <v>291908985.20000005</v>
      </c>
      <c r="N109" s="184">
        <f t="shared" si="27"/>
        <v>-75608985.200000048</v>
      </c>
      <c r="Q109" s="35">
        <v>2272487</v>
      </c>
      <c r="R109" s="5" t="s">
        <v>4604</v>
      </c>
      <c r="S109" s="5">
        <f>S108-5</f>
        <v>119</v>
      </c>
      <c r="T109" s="5" t="s">
        <v>4605</v>
      </c>
      <c r="U109" s="168">
        <v>174.9</v>
      </c>
      <c r="V109" s="99">
        <f t="shared" si="21"/>
        <v>192.82509369863016</v>
      </c>
      <c r="W109" s="32">
        <f t="shared" si="22"/>
        <v>196.68159557260276</v>
      </c>
      <c r="X109" s="32">
        <f t="shared" si="23"/>
        <v>200.53809744657536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7422.8884404727596</v>
      </c>
      <c r="G110" s="215">
        <f>P51</f>
        <v>693.8</v>
      </c>
      <c r="H110" s="215" t="s">
        <v>4697</v>
      </c>
      <c r="I110" s="215" t="s">
        <v>4696</v>
      </c>
      <c r="J110" s="32" t="s">
        <v>4410</v>
      </c>
      <c r="K110" s="215">
        <v>40</v>
      </c>
      <c r="L110" s="1">
        <f t="shared" si="26"/>
        <v>206000000</v>
      </c>
      <c r="M110" s="1">
        <f>N51+N24+N31</f>
        <v>182125275.20000002</v>
      </c>
      <c r="N110" s="113">
        <f t="shared" si="27"/>
        <v>23874724.799999982</v>
      </c>
      <c r="Q110" s="35">
        <v>3975257</v>
      </c>
      <c r="R110" s="5" t="s">
        <v>4609</v>
      </c>
      <c r="S110" s="5">
        <f>S109-1</f>
        <v>118</v>
      </c>
      <c r="T110" s="5" t="s">
        <v>4610</v>
      </c>
      <c r="U110" s="168">
        <v>173</v>
      </c>
      <c r="V110" s="99">
        <f t="shared" si="21"/>
        <v>190.59765479452054</v>
      </c>
      <c r="W110" s="32">
        <f t="shared" si="22"/>
        <v>194.40960789041094</v>
      </c>
      <c r="X110" s="32">
        <f t="shared" si="23"/>
        <v>198.22156098630137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921.63424542314647</v>
      </c>
      <c r="G111" s="200">
        <f>P53</f>
        <v>5587.9</v>
      </c>
      <c r="H111" s="200" t="s">
        <v>4700</v>
      </c>
      <c r="I111" s="200" t="s">
        <v>4699</v>
      </c>
      <c r="J111" s="216" t="s">
        <v>4537</v>
      </c>
      <c r="K111" s="200">
        <v>3</v>
      </c>
      <c r="L111" s="217">
        <f t="shared" si="26"/>
        <v>15450000</v>
      </c>
      <c r="M111" s="217">
        <f>N53</f>
        <v>16277552.699999999</v>
      </c>
      <c r="N111" s="184">
        <f t="shared" si="27"/>
        <v>-827552.69999999925</v>
      </c>
      <c r="Q111" s="35">
        <v>1031662</v>
      </c>
      <c r="R111" s="5" t="s">
        <v>4234</v>
      </c>
      <c r="S111" s="5">
        <f>S110-1</f>
        <v>117</v>
      </c>
      <c r="T111" s="5" t="s">
        <v>4613</v>
      </c>
      <c r="U111" s="168">
        <v>171.2</v>
      </c>
      <c r="V111" s="99">
        <f t="shared" si="21"/>
        <v>188.48322630136985</v>
      </c>
      <c r="W111" s="32">
        <f t="shared" si="22"/>
        <v>192.25289082739727</v>
      </c>
      <c r="X111" s="32">
        <f t="shared" si="23"/>
        <v>196.02255535342465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1033.6176618163572</v>
      </c>
      <c r="G112" s="215">
        <f>P52</f>
        <v>4982.5</v>
      </c>
      <c r="H112" s="215" t="s">
        <v>4701</v>
      </c>
      <c r="I112" s="215" t="s">
        <v>4702</v>
      </c>
      <c r="J112" s="32" t="s">
        <v>4538</v>
      </c>
      <c r="K112" s="215">
        <v>20</v>
      </c>
      <c r="L112" s="1">
        <f t="shared" si="26"/>
        <v>103000000</v>
      </c>
      <c r="M112" s="1">
        <f>N52+N25</f>
        <v>102096407.5</v>
      </c>
      <c r="N112" s="113">
        <f t="shared" si="27"/>
        <v>903592.5</v>
      </c>
      <c r="Q112" s="169">
        <v>2666019</v>
      </c>
      <c r="R112" s="168" t="s">
        <v>4234</v>
      </c>
      <c r="S112" s="168">
        <f>S111</f>
        <v>117</v>
      </c>
      <c r="T112" s="168" t="s">
        <v>4615</v>
      </c>
      <c r="U112" s="168">
        <v>749</v>
      </c>
      <c r="V112" s="99">
        <f t="shared" si="21"/>
        <v>824.61411506849322</v>
      </c>
      <c r="W112" s="32">
        <f t="shared" si="22"/>
        <v>841.10639736986309</v>
      </c>
      <c r="X112" s="32">
        <f t="shared" si="23"/>
        <v>857.59867967123296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/>
      <c r="G113" s="200"/>
      <c r="H113" s="231">
        <v>35433</v>
      </c>
      <c r="I113" s="200" t="s">
        <v>4698</v>
      </c>
      <c r="J113" s="216" t="s">
        <v>4614</v>
      </c>
      <c r="K113" s="200">
        <v>1</v>
      </c>
      <c r="L113" s="217">
        <f t="shared" si="26"/>
        <v>5150000</v>
      </c>
      <c r="M113" s="217">
        <f>N54</f>
        <v>4560930</v>
      </c>
      <c r="N113" s="113">
        <f t="shared" si="27"/>
        <v>589070</v>
      </c>
      <c r="Q113" s="35">
        <v>577500</v>
      </c>
      <c r="R113" s="5" t="s">
        <v>4234</v>
      </c>
      <c r="S113" s="5">
        <f>S112</f>
        <v>117</v>
      </c>
      <c r="T113" s="5" t="s">
        <v>4618</v>
      </c>
      <c r="U113" s="168">
        <v>175</v>
      </c>
      <c r="V113" s="99">
        <f t="shared" si="21"/>
        <v>192.6668493150685</v>
      </c>
      <c r="W113" s="32">
        <f t="shared" si="22"/>
        <v>196.52018630136988</v>
      </c>
      <c r="X113" s="32">
        <f t="shared" si="23"/>
        <v>200.37352328767125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00"/>
      <c r="G114" s="200"/>
      <c r="H114" s="200"/>
      <c r="I114" s="200"/>
      <c r="J114" s="216" t="s">
        <v>4668</v>
      </c>
      <c r="K114" s="200">
        <v>1</v>
      </c>
      <c r="L114" s="217">
        <f t="shared" si="26"/>
        <v>5150000</v>
      </c>
      <c r="M114" s="217">
        <f>N47+N49+N55</f>
        <v>1186730.6000000001</v>
      </c>
      <c r="N114" s="184">
        <f t="shared" si="27"/>
        <v>3963269.4</v>
      </c>
      <c r="Q114" s="35">
        <v>12636487</v>
      </c>
      <c r="R114" s="5" t="s">
        <v>3691</v>
      </c>
      <c r="S114" s="5">
        <f>S113-2</f>
        <v>115</v>
      </c>
      <c r="T114" s="5" t="s">
        <v>4621</v>
      </c>
      <c r="U114" s="168">
        <v>172.1</v>
      </c>
      <c r="V114" s="99">
        <f t="shared" si="21"/>
        <v>189.2100405479452</v>
      </c>
      <c r="W114" s="32">
        <f t="shared" si="22"/>
        <v>192.99424135890411</v>
      </c>
      <c r="X114" s="32">
        <f t="shared" si="23"/>
        <v>196.77844216986301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15"/>
      <c r="G115" s="215"/>
      <c r="H115" s="215"/>
      <c r="I115" s="215"/>
      <c r="J115" s="32" t="s">
        <v>4811</v>
      </c>
      <c r="K115" s="215"/>
      <c r="L115" s="1"/>
      <c r="M115" s="1"/>
      <c r="N115" s="113">
        <v>50000000</v>
      </c>
      <c r="Q115" s="169">
        <v>60508</v>
      </c>
      <c r="R115" s="168" t="s">
        <v>4624</v>
      </c>
      <c r="S115" s="168">
        <f>S114-3</f>
        <v>112</v>
      </c>
      <c r="T115" s="168" t="s">
        <v>4971</v>
      </c>
      <c r="U115" s="168">
        <v>1204.7</v>
      </c>
      <c r="V115" s="99">
        <f t="shared" si="21"/>
        <v>1321.6978235616439</v>
      </c>
      <c r="W115" s="32">
        <f t="shared" si="22"/>
        <v>1348.1317800328768</v>
      </c>
      <c r="X115" s="32">
        <f t="shared" si="23"/>
        <v>1374.5657365041097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00"/>
      <c r="G116" s="200"/>
      <c r="H116" s="200"/>
      <c r="I116" s="200"/>
      <c r="J116" s="216" t="s">
        <v>4942</v>
      </c>
      <c r="K116" s="200">
        <f>SUM(K107:K114)</f>
        <v>211</v>
      </c>
      <c r="L116" s="217"/>
      <c r="M116" s="217"/>
      <c r="N116" s="184"/>
      <c r="Q116" s="39">
        <v>11121445</v>
      </c>
      <c r="R116" s="5" t="s">
        <v>4624</v>
      </c>
      <c r="S116" s="5">
        <f>S115</f>
        <v>112</v>
      </c>
      <c r="T116" s="5" t="s">
        <v>4852</v>
      </c>
      <c r="U116" s="168">
        <v>171.8</v>
      </c>
      <c r="V116" s="99">
        <f t="shared" si="21"/>
        <v>188.48483945205481</v>
      </c>
      <c r="W116" s="32">
        <f t="shared" si="22"/>
        <v>192.25453624109591</v>
      </c>
      <c r="X116" s="32">
        <f t="shared" si="23"/>
        <v>196.02423303013703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/>
      <c r="G117" s="215"/>
      <c r="H117" s="215" t="s">
        <v>25</v>
      </c>
      <c r="I117" s="215"/>
      <c r="J117" s="32"/>
      <c r="K117" s="215">
        <v>8</v>
      </c>
      <c r="L117" s="39">
        <f>10*P57</f>
        <v>5150000</v>
      </c>
      <c r="M117" s="1">
        <f>K117*L117</f>
        <v>41200000</v>
      </c>
      <c r="N117" s="113">
        <f>SUM(N107:N115)-M117</f>
        <v>-55373291.800000064</v>
      </c>
      <c r="Q117" s="35">
        <v>8978273</v>
      </c>
      <c r="R117" s="5" t="s">
        <v>4628</v>
      </c>
      <c r="S117" s="5">
        <f>S116-1</f>
        <v>111</v>
      </c>
      <c r="T117" s="5" t="s">
        <v>4629</v>
      </c>
      <c r="U117" s="168">
        <v>3405.9</v>
      </c>
      <c r="V117" s="99">
        <f t="shared" si="21"/>
        <v>3734.0607978082198</v>
      </c>
      <c r="W117" s="32">
        <f t="shared" ref="W117:W164" si="28">V117*(1+$W$19/100)</f>
        <v>3808.7420137643844</v>
      </c>
      <c r="X117" s="32">
        <f t="shared" ref="X117:X164" si="29">V117*(1+$X$19/100)</f>
        <v>3883.4232297205485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00"/>
      <c r="I118" s="200"/>
      <c r="J118" s="216"/>
      <c r="K118" s="248" t="s">
        <v>4966</v>
      </c>
      <c r="L118" s="217" t="s">
        <v>4253</v>
      </c>
      <c r="M118" s="217" t="s">
        <v>4677</v>
      </c>
      <c r="N118" s="184" t="s">
        <v>4678</v>
      </c>
      <c r="P118" s="114"/>
      <c r="Q118" s="169">
        <v>12953846</v>
      </c>
      <c r="R118" s="168" t="s">
        <v>4628</v>
      </c>
      <c r="S118" s="168">
        <f>S117</f>
        <v>111</v>
      </c>
      <c r="T118" s="168" t="s">
        <v>4744</v>
      </c>
      <c r="U118" s="168">
        <v>4500.5</v>
      </c>
      <c r="V118" s="99">
        <f t="shared" si="21"/>
        <v>4934.1262575342471</v>
      </c>
      <c r="W118" s="32">
        <f t="shared" si="28"/>
        <v>5032.8087826849323</v>
      </c>
      <c r="X118" s="32">
        <f t="shared" si="29"/>
        <v>5131.4913078356176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32" t="s">
        <v>4685</v>
      </c>
      <c r="K119" s="215"/>
      <c r="L119" s="1"/>
      <c r="M119" s="1"/>
      <c r="N119" s="113"/>
      <c r="Q119" s="35">
        <v>4068640</v>
      </c>
      <c r="R119" s="5" t="s">
        <v>4634</v>
      </c>
      <c r="S119" s="5">
        <f>S118-1</f>
        <v>110</v>
      </c>
      <c r="T119" s="5" t="s">
        <v>4635</v>
      </c>
      <c r="U119" s="168">
        <v>3322.3</v>
      </c>
      <c r="V119" s="99">
        <f t="shared" si="21"/>
        <v>3639.8572668493152</v>
      </c>
      <c r="W119" s="32">
        <f t="shared" si="28"/>
        <v>3712.6544121863017</v>
      </c>
      <c r="X119" s="32">
        <f t="shared" si="29"/>
        <v>3785.4515575232881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M120" t="s">
        <v>25</v>
      </c>
      <c r="Q120" s="35">
        <v>12656982</v>
      </c>
      <c r="R120" s="5" t="s">
        <v>4634</v>
      </c>
      <c r="S120" s="5">
        <f>S119</f>
        <v>110</v>
      </c>
      <c r="T120" s="5" t="s">
        <v>4636</v>
      </c>
      <c r="U120" s="168">
        <v>5249.9</v>
      </c>
      <c r="V120" s="99">
        <f t="shared" si="21"/>
        <v>5751.7041402739724</v>
      </c>
      <c r="W120" s="32">
        <f t="shared" si="28"/>
        <v>5866.7382230794519</v>
      </c>
      <c r="X120" s="32">
        <f t="shared" si="29"/>
        <v>5981.7723058849315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Q121" s="169">
        <v>100905</v>
      </c>
      <c r="R121" s="168" t="s">
        <v>4637</v>
      </c>
      <c r="S121" s="168">
        <f>S120-1</f>
        <v>109</v>
      </c>
      <c r="T121" s="168" t="s">
        <v>4643</v>
      </c>
      <c r="U121" s="168">
        <v>372</v>
      </c>
      <c r="V121" s="99">
        <f t="shared" si="21"/>
        <v>407.27171506849317</v>
      </c>
      <c r="W121" s="32">
        <f t="shared" si="28"/>
        <v>415.41714936986301</v>
      </c>
      <c r="X121" s="32">
        <f t="shared" si="29"/>
        <v>423.56258367123291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 t="s">
        <v>4986</v>
      </c>
      <c r="G122" s="129" t="s">
        <v>4987</v>
      </c>
      <c r="H122" s="4" t="s">
        <v>4941</v>
      </c>
      <c r="I122" s="4" t="s">
        <v>4832</v>
      </c>
      <c r="J122" s="215" t="s">
        <v>4806</v>
      </c>
      <c r="K122" s="168" t="s">
        <v>4541</v>
      </c>
      <c r="L122" s="168" t="s">
        <v>4542</v>
      </c>
      <c r="M122" s="168" t="s">
        <v>4436</v>
      </c>
      <c r="N122" s="56" t="s">
        <v>190</v>
      </c>
      <c r="P122" s="114"/>
      <c r="Q122" s="35">
        <v>48637534</v>
      </c>
      <c r="R122" s="5" t="s">
        <v>4637</v>
      </c>
      <c r="S122" s="5">
        <f>S121</f>
        <v>109</v>
      </c>
      <c r="T122" s="5" t="s">
        <v>4641</v>
      </c>
      <c r="U122" s="168">
        <v>5330</v>
      </c>
      <c r="V122" s="99">
        <f t="shared" si="21"/>
        <v>5835.3716164383568</v>
      </c>
      <c r="W122" s="32">
        <f t="shared" si="28"/>
        <v>5952.0790487671238</v>
      </c>
      <c r="X122" s="32">
        <f t="shared" si="29"/>
        <v>6068.7864810958908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4807</v>
      </c>
      <c r="K123" s="168" t="s">
        <v>4243</v>
      </c>
      <c r="L123" s="169">
        <v>1100000</v>
      </c>
      <c r="M123" s="169">
        <v>1637000</v>
      </c>
      <c r="N123" s="168">
        <f t="shared" ref="N123:N131" si="32">(M123-L123)*100/L123</f>
        <v>48.81818181818182</v>
      </c>
      <c r="Q123" s="35">
        <v>40048573</v>
      </c>
      <c r="R123" s="5" t="s">
        <v>4637</v>
      </c>
      <c r="S123" s="5">
        <f>S122</f>
        <v>109</v>
      </c>
      <c r="T123" s="5" t="s">
        <v>4642</v>
      </c>
      <c r="U123" s="168">
        <v>498.9</v>
      </c>
      <c r="V123" s="99">
        <f t="shared" si="21"/>
        <v>546.20392109589045</v>
      </c>
      <c r="W123" s="32">
        <f t="shared" si="28"/>
        <v>557.12799951780823</v>
      </c>
      <c r="X123" s="32">
        <f t="shared" si="29"/>
        <v>568.05207793972613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4638</v>
      </c>
    </row>
    <row r="124" spans="6:46">
      <c r="F124" s="1">
        <v>3307.5</v>
      </c>
      <c r="G124" s="1">
        <f>P46</f>
        <v>3745.4</v>
      </c>
      <c r="H124" s="215" t="s">
        <v>4391</v>
      </c>
      <c r="I124" s="215">
        <v>3761</v>
      </c>
      <c r="J124" s="1">
        <f>I124*G124</f>
        <v>14086449.4</v>
      </c>
      <c r="K124" s="5" t="s">
        <v>4536</v>
      </c>
      <c r="L124" s="169">
        <v>1100000</v>
      </c>
      <c r="M124" s="169">
        <v>4748000</v>
      </c>
      <c r="N124" s="168">
        <f t="shared" si="32"/>
        <v>331.63636363636363</v>
      </c>
      <c r="Q124" s="169">
        <v>1000495</v>
      </c>
      <c r="R124" s="168" t="s">
        <v>4653</v>
      </c>
      <c r="S124" s="168">
        <f>S123-1</f>
        <v>108</v>
      </c>
      <c r="T124" s="168" t="s">
        <v>4715</v>
      </c>
      <c r="U124" s="168">
        <v>724.8</v>
      </c>
      <c r="V124" s="99">
        <f t="shared" si="21"/>
        <v>792.96694356164392</v>
      </c>
      <c r="W124" s="32">
        <f t="shared" si="28"/>
        <v>808.82628243287684</v>
      </c>
      <c r="X124" s="32">
        <f t="shared" si="29"/>
        <v>824.68562130410965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4639</v>
      </c>
      <c r="AQ124" t="s">
        <v>25</v>
      </c>
    </row>
    <row r="125" spans="6:46">
      <c r="F125" s="1">
        <v>5249.5</v>
      </c>
      <c r="G125" s="1">
        <f>P50</f>
        <v>6336.2</v>
      </c>
      <c r="H125" s="215" t="s">
        <v>4395</v>
      </c>
      <c r="I125" s="215">
        <v>7163</v>
      </c>
      <c r="J125" s="1">
        <f>I125*G125</f>
        <v>45386200.600000001</v>
      </c>
      <c r="K125" s="5" t="s">
        <v>4537</v>
      </c>
      <c r="L125" s="169">
        <v>1100000</v>
      </c>
      <c r="M125" s="169">
        <v>5137000</v>
      </c>
      <c r="N125" s="168">
        <f t="shared" si="32"/>
        <v>367</v>
      </c>
      <c r="Q125" s="35">
        <v>37856769</v>
      </c>
      <c r="R125" s="5" t="s">
        <v>4653</v>
      </c>
      <c r="S125" s="5">
        <f>S124</f>
        <v>108</v>
      </c>
      <c r="T125" s="5" t="s">
        <v>4655</v>
      </c>
      <c r="U125" s="168">
        <v>5393.6</v>
      </c>
      <c r="V125" s="99">
        <f t="shared" si="21"/>
        <v>5900.8643857534262</v>
      </c>
      <c r="W125" s="32">
        <f t="shared" si="28"/>
        <v>6018.8816734684951</v>
      </c>
      <c r="X125" s="32">
        <f t="shared" si="29"/>
        <v>6136.8989611835632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4640</v>
      </c>
      <c r="AP125" t="s">
        <v>25</v>
      </c>
    </row>
    <row r="126" spans="6:46">
      <c r="F126" s="1">
        <v>519.79999999999995</v>
      </c>
      <c r="G126" s="1">
        <f>P51</f>
        <v>693.8</v>
      </c>
      <c r="H126" s="215" t="s">
        <v>4410</v>
      </c>
      <c r="I126" s="215">
        <v>0</v>
      </c>
      <c r="J126" s="1">
        <f>I126*G126</f>
        <v>0</v>
      </c>
      <c r="K126" s="19" t="s">
        <v>4391</v>
      </c>
      <c r="L126" s="169">
        <v>1100000</v>
      </c>
      <c r="M126" s="169">
        <v>4300000</v>
      </c>
      <c r="N126" s="168">
        <f t="shared" si="32"/>
        <v>290.90909090909093</v>
      </c>
      <c r="Q126" s="35">
        <v>155151</v>
      </c>
      <c r="R126" s="5" t="s">
        <v>4664</v>
      </c>
      <c r="S126" s="5">
        <f>S125-3</f>
        <v>105</v>
      </c>
      <c r="T126" s="5" t="s">
        <v>4666</v>
      </c>
      <c r="U126" s="168">
        <v>5325.9</v>
      </c>
      <c r="V126" s="99">
        <f t="shared" si="21"/>
        <v>5814.5403813698631</v>
      </c>
      <c r="W126" s="32">
        <f t="shared" si="28"/>
        <v>5930.8311889972601</v>
      </c>
      <c r="X126" s="32">
        <f t="shared" si="29"/>
        <v>6047.1219966246581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4051</v>
      </c>
      <c r="G127" s="1">
        <f>P52</f>
        <v>4982.5</v>
      </c>
      <c r="H127" s="215" t="s">
        <v>4538</v>
      </c>
      <c r="I127" s="215">
        <v>130</v>
      </c>
      <c r="J127" s="1">
        <f>I127*G127</f>
        <v>647725</v>
      </c>
      <c r="K127" s="5" t="s">
        <v>4410</v>
      </c>
      <c r="L127" s="169">
        <v>1100000</v>
      </c>
      <c r="M127" s="169">
        <v>3191000</v>
      </c>
      <c r="N127" s="168">
        <f t="shared" si="32"/>
        <v>190.09090909090909</v>
      </c>
      <c r="P127" s="114"/>
      <c r="Q127" s="35">
        <v>8938737</v>
      </c>
      <c r="R127" s="5" t="s">
        <v>4669</v>
      </c>
      <c r="S127" s="5">
        <f>S126-1</f>
        <v>104</v>
      </c>
      <c r="T127" s="5" t="s">
        <v>4671</v>
      </c>
      <c r="U127" s="168">
        <v>5179.5</v>
      </c>
      <c r="V127" s="99">
        <f t="shared" ref="V127:V158" si="33">U127*(1+$N$88+$Q$15*S127/36500)</f>
        <v>5650.7351671232882</v>
      </c>
      <c r="W127" s="32">
        <f t="shared" si="28"/>
        <v>5763.7498704657537</v>
      </c>
      <c r="X127" s="32">
        <f t="shared" si="29"/>
        <v>5876.7645738082201</v>
      </c>
      <c r="AH127" s="149">
        <v>107</v>
      </c>
      <c r="AI127" s="189" t="s">
        <v>4637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4648</v>
      </c>
    </row>
    <row r="128" spans="6:46">
      <c r="F128" s="215"/>
      <c r="G128" s="215"/>
      <c r="H128" s="215"/>
      <c r="I128" s="215"/>
      <c r="J128" s="1">
        <f>SUM(J124:J127)</f>
        <v>60120375</v>
      </c>
      <c r="K128" s="5" t="s">
        <v>4538</v>
      </c>
      <c r="L128" s="169">
        <v>1100000</v>
      </c>
      <c r="M128" s="169">
        <v>5623000</v>
      </c>
      <c r="N128" s="168">
        <f t="shared" si="32"/>
        <v>411.18181818181819</v>
      </c>
      <c r="Q128" s="35">
        <v>2595417</v>
      </c>
      <c r="R128" s="5" t="s">
        <v>4679</v>
      </c>
      <c r="S128" s="5">
        <f>S127-1</f>
        <v>103</v>
      </c>
      <c r="T128" s="5" t="s">
        <v>4680</v>
      </c>
      <c r="U128" s="168">
        <v>4803</v>
      </c>
      <c r="V128" s="99">
        <f t="shared" si="33"/>
        <v>5236.2963945205493</v>
      </c>
      <c r="W128" s="32">
        <f t="shared" si="28"/>
        <v>5341.0223224109604</v>
      </c>
      <c r="X128" s="32">
        <f t="shared" si="29"/>
        <v>5445.7482503013716</v>
      </c>
      <c r="AH128" s="89">
        <v>108</v>
      </c>
      <c r="AI128" s="90" t="s">
        <v>4637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4649</v>
      </c>
    </row>
    <row r="129" spans="6:44">
      <c r="F129" s="215"/>
      <c r="G129" s="215"/>
      <c r="H129" s="215"/>
      <c r="I129" s="215"/>
      <c r="J129" s="215" t="s">
        <v>6</v>
      </c>
      <c r="K129" s="19" t="s">
        <v>4395</v>
      </c>
      <c r="L129" s="169">
        <v>1100000</v>
      </c>
      <c r="M129" s="169">
        <v>7728000</v>
      </c>
      <c r="N129" s="168">
        <f t="shared" si="32"/>
        <v>602.5454545454545</v>
      </c>
      <c r="Q129" s="169">
        <v>183283</v>
      </c>
      <c r="R129" s="212" t="s">
        <v>4682</v>
      </c>
      <c r="S129" s="212">
        <f>S128-1</f>
        <v>102</v>
      </c>
      <c r="T129" s="212" t="s">
        <v>4692</v>
      </c>
      <c r="U129" s="212">
        <v>347.5</v>
      </c>
      <c r="V129" s="99">
        <f t="shared" si="33"/>
        <v>378.58268493150689</v>
      </c>
      <c r="W129" s="32">
        <f t="shared" si="28"/>
        <v>386.15433863013703</v>
      </c>
      <c r="X129" s="32">
        <f t="shared" si="29"/>
        <v>393.72599232876718</v>
      </c>
      <c r="AH129" s="89">
        <v>109</v>
      </c>
      <c r="AI129" s="90" t="s">
        <v>4664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4667</v>
      </c>
      <c r="AQ129" t="s">
        <v>25</v>
      </c>
    </row>
    <row r="130" spans="6:44">
      <c r="K130" s="5" t="s">
        <v>4540</v>
      </c>
      <c r="L130" s="169">
        <v>1100000</v>
      </c>
      <c r="M130" s="169">
        <v>2904000</v>
      </c>
      <c r="N130" s="168">
        <f t="shared" si="32"/>
        <v>164</v>
      </c>
      <c r="Q130" s="35">
        <v>559461</v>
      </c>
      <c r="R130" s="5" t="s">
        <v>4682</v>
      </c>
      <c r="S130" s="5">
        <f>S129</f>
        <v>102</v>
      </c>
      <c r="T130" s="5" t="s">
        <v>4689</v>
      </c>
      <c r="U130" s="212">
        <v>508.1</v>
      </c>
      <c r="V130" s="99">
        <f t="shared" si="33"/>
        <v>553.5478049315069</v>
      </c>
      <c r="W130" s="32">
        <f t="shared" si="28"/>
        <v>564.61876103013708</v>
      </c>
      <c r="X130" s="32">
        <f t="shared" si="29"/>
        <v>575.68971712876714</v>
      </c>
      <c r="Z130" t="s">
        <v>25</v>
      </c>
      <c r="AH130" s="99">
        <v>110</v>
      </c>
      <c r="AI130" s="113" t="s">
        <v>4669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4670</v>
      </c>
    </row>
    <row r="131" spans="6:44">
      <c r="K131" s="56" t="s">
        <v>1086</v>
      </c>
      <c r="L131" s="169">
        <v>1100000</v>
      </c>
      <c r="M131" s="169">
        <v>3400000</v>
      </c>
      <c r="N131" s="168">
        <f t="shared" si="32"/>
        <v>209.09090909090909</v>
      </c>
      <c r="Q131" s="35">
        <v>9376000</v>
      </c>
      <c r="R131" s="5" t="s">
        <v>4682</v>
      </c>
      <c r="S131" s="5">
        <f>S130</f>
        <v>102</v>
      </c>
      <c r="T131" s="5" t="s">
        <v>4690</v>
      </c>
      <c r="U131" s="212">
        <v>3184.1</v>
      </c>
      <c r="V131" s="99">
        <f t="shared" si="33"/>
        <v>3468.9068405479452</v>
      </c>
      <c r="W131" s="32">
        <f t="shared" si="28"/>
        <v>3538.2849773589041</v>
      </c>
      <c r="X131" s="32">
        <f t="shared" si="29"/>
        <v>3607.6631141698631</v>
      </c>
      <c r="AH131" s="20">
        <v>111</v>
      </c>
      <c r="AI131" s="117" t="s">
        <v>4679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F132" s="215"/>
      <c r="G132" s="215"/>
      <c r="H132" s="215"/>
      <c r="I132" s="215"/>
      <c r="J132" s="215" t="s">
        <v>4952</v>
      </c>
      <c r="K132" s="246" t="s">
        <v>4569</v>
      </c>
      <c r="P132" s="114"/>
      <c r="Q132" s="169">
        <v>128675</v>
      </c>
      <c r="R132" s="212" t="s">
        <v>4682</v>
      </c>
      <c r="S132" s="212">
        <f t="shared" ref="S132" si="35">S131</f>
        <v>102</v>
      </c>
      <c r="T132" s="212" t="s">
        <v>4691</v>
      </c>
      <c r="U132" s="212">
        <v>699.9</v>
      </c>
      <c r="V132" s="99">
        <f t="shared" si="33"/>
        <v>762.50365808219181</v>
      </c>
      <c r="W132" s="32">
        <f t="shared" si="28"/>
        <v>777.75373124383566</v>
      </c>
      <c r="X132" s="32">
        <f t="shared" si="29"/>
        <v>793.00380440547951</v>
      </c>
      <c r="AH132" s="89">
        <v>112</v>
      </c>
      <c r="AI132" s="90" t="s">
        <v>4679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4683</v>
      </c>
      <c r="AQ132" t="s">
        <v>25</v>
      </c>
    </row>
    <row r="133" spans="6:44">
      <c r="F133" s="215" t="s">
        <v>4363</v>
      </c>
      <c r="G133" s="215" t="s">
        <v>941</v>
      </c>
      <c r="H133" s="215" t="s">
        <v>4541</v>
      </c>
      <c r="I133" s="215" t="s">
        <v>937</v>
      </c>
      <c r="J133" s="215" t="s">
        <v>4807</v>
      </c>
      <c r="K133" s="246" t="s">
        <v>4570</v>
      </c>
      <c r="Q133" s="35">
        <v>13100555</v>
      </c>
      <c r="R133" s="5" t="s">
        <v>4703</v>
      </c>
      <c r="S133" s="5">
        <f>S132-1</f>
        <v>101</v>
      </c>
      <c r="T133" s="5" t="s">
        <v>4704</v>
      </c>
      <c r="U133" s="212">
        <v>3180.5</v>
      </c>
      <c r="V133" s="99">
        <f t="shared" si="33"/>
        <v>3462.5449972602746</v>
      </c>
      <c r="W133" s="32">
        <f t="shared" si="28"/>
        <v>3531.7958972054803</v>
      </c>
      <c r="X133" s="32">
        <f t="shared" si="29"/>
        <v>3601.0467971506855</v>
      </c>
      <c r="AH133" s="20">
        <v>113</v>
      </c>
      <c r="AI133" s="117" t="s">
        <v>4682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F134" s="1">
        <v>3775.1</v>
      </c>
      <c r="G134" s="1">
        <f>P46</f>
        <v>3745.4</v>
      </c>
      <c r="H134" s="215" t="s">
        <v>4391</v>
      </c>
      <c r="I134" s="215">
        <v>1000</v>
      </c>
      <c r="J134" s="1">
        <f>I134*G134</f>
        <v>3745400</v>
      </c>
      <c r="K134" s="246" t="s">
        <v>4571</v>
      </c>
      <c r="Q134" s="35">
        <v>622942</v>
      </c>
      <c r="R134" s="5" t="s">
        <v>4703</v>
      </c>
      <c r="S134" s="5">
        <f>S133</f>
        <v>101</v>
      </c>
      <c r="T134" s="5" t="s">
        <v>4705</v>
      </c>
      <c r="U134" s="212">
        <v>503.3</v>
      </c>
      <c r="V134" s="99">
        <f t="shared" si="33"/>
        <v>547.93236821917822</v>
      </c>
      <c r="W134" s="32">
        <f t="shared" si="28"/>
        <v>558.89101558356174</v>
      </c>
      <c r="X134" s="32">
        <f t="shared" si="29"/>
        <v>569.84966294794538</v>
      </c>
      <c r="AH134" s="89">
        <v>114</v>
      </c>
      <c r="AI134" s="90" t="s">
        <v>4682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4683</v>
      </c>
    </row>
    <row r="135" spans="6:44">
      <c r="F135" s="1">
        <v>6250.1</v>
      </c>
      <c r="G135" s="1">
        <f>P50</f>
        <v>6336.2</v>
      </c>
      <c r="H135" s="215" t="s">
        <v>4953</v>
      </c>
      <c r="I135" s="215">
        <v>1000</v>
      </c>
      <c r="J135" s="1">
        <f t="shared" ref="J135:J137" si="36">I135*G135</f>
        <v>6336200</v>
      </c>
      <c r="Q135" s="35">
        <v>1472140</v>
      </c>
      <c r="R135" s="5" t="s">
        <v>4710</v>
      </c>
      <c r="S135" s="5">
        <f>S134-3</f>
        <v>98</v>
      </c>
      <c r="T135" s="5" t="s">
        <v>4713</v>
      </c>
      <c r="U135" s="168">
        <v>502</v>
      </c>
      <c r="V135" s="99">
        <f t="shared" si="33"/>
        <v>545.3617972602741</v>
      </c>
      <c r="W135" s="32">
        <f t="shared" si="28"/>
        <v>556.26903320547956</v>
      </c>
      <c r="X135" s="32">
        <f t="shared" si="29"/>
        <v>567.17626915068513</v>
      </c>
      <c r="Y135" t="s">
        <v>25</v>
      </c>
      <c r="AH135" s="20">
        <v>115</v>
      </c>
      <c r="AI135" s="117" t="s">
        <v>4682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4693</v>
      </c>
    </row>
    <row r="136" spans="6:44">
      <c r="F136" s="1">
        <v>183</v>
      </c>
      <c r="G136" s="1">
        <f>P56</f>
        <v>197.3</v>
      </c>
      <c r="H136" s="215" t="s">
        <v>4243</v>
      </c>
      <c r="I136" s="215">
        <v>108344</v>
      </c>
      <c r="J136" s="1">
        <f t="shared" si="36"/>
        <v>21376271.200000003</v>
      </c>
      <c r="Q136" s="35">
        <v>4394591</v>
      </c>
      <c r="R136" s="5" t="s">
        <v>4716</v>
      </c>
      <c r="S136" s="5">
        <f>S135-1</f>
        <v>97</v>
      </c>
      <c r="T136" s="5" t="s">
        <v>4717</v>
      </c>
      <c r="U136" s="168">
        <v>481.7</v>
      </c>
      <c r="V136" s="99">
        <f t="shared" si="33"/>
        <v>522.9387989041096</v>
      </c>
      <c r="W136" s="32">
        <f t="shared" si="28"/>
        <v>533.39757488219186</v>
      </c>
      <c r="X136" s="32">
        <f t="shared" si="29"/>
        <v>543.85635086027401</v>
      </c>
      <c r="Y136" t="s">
        <v>25</v>
      </c>
      <c r="AH136" s="89">
        <v>116</v>
      </c>
      <c r="AI136" s="90" t="s">
        <v>4716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4718</v>
      </c>
    </row>
    <row r="137" spans="6:44">
      <c r="F137" s="1">
        <v>4485.1000000000004</v>
      </c>
      <c r="G137" s="1">
        <f>P52</f>
        <v>4982.5</v>
      </c>
      <c r="H137" s="215" t="s">
        <v>4538</v>
      </c>
      <c r="I137" s="215">
        <v>3</v>
      </c>
      <c r="J137" s="1">
        <f t="shared" si="36"/>
        <v>14947.5</v>
      </c>
      <c r="Q137" s="117">
        <v>4085110</v>
      </c>
      <c r="R137" s="19" t="s">
        <v>4719</v>
      </c>
      <c r="S137" s="19">
        <f>S136-1</f>
        <v>96</v>
      </c>
      <c r="T137" s="19" t="s">
        <v>4720</v>
      </c>
      <c r="U137" s="215">
        <v>3115.9</v>
      </c>
      <c r="V137" s="99">
        <f t="shared" si="33"/>
        <v>3380.2649073972607</v>
      </c>
      <c r="W137" s="32">
        <f t="shared" si="28"/>
        <v>3447.8702055452059</v>
      </c>
      <c r="X137" s="32">
        <f t="shared" si="29"/>
        <v>3515.475503693151</v>
      </c>
      <c r="Y137" t="s">
        <v>25</v>
      </c>
      <c r="Z137" t="s">
        <v>25</v>
      </c>
      <c r="AH137" s="20">
        <v>117</v>
      </c>
      <c r="AI137" s="117" t="s">
        <v>4723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1">
        <f>SUM(J134:J137)</f>
        <v>31472818.700000003</v>
      </c>
      <c r="Q138" s="117">
        <v>205386</v>
      </c>
      <c r="R138" s="19" t="s">
        <v>4721</v>
      </c>
      <c r="S138" s="19">
        <f>S137</f>
        <v>96</v>
      </c>
      <c r="T138" s="19" t="s">
        <v>4722</v>
      </c>
      <c r="U138" s="215">
        <v>178.1</v>
      </c>
      <c r="V138" s="99">
        <f t="shared" si="33"/>
        <v>193.2106871232877</v>
      </c>
      <c r="W138" s="32">
        <f t="shared" si="28"/>
        <v>197.07490086575345</v>
      </c>
      <c r="X138" s="32">
        <f t="shared" si="29"/>
        <v>200.9391146082192</v>
      </c>
      <c r="Y138" t="s">
        <v>25</v>
      </c>
      <c r="AH138" s="121">
        <v>118</v>
      </c>
      <c r="AI138" s="79" t="s">
        <v>4731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4667</v>
      </c>
    </row>
    <row r="139" spans="6:44">
      <c r="F139" s="215"/>
      <c r="G139" s="215"/>
      <c r="H139" s="215"/>
      <c r="I139" s="215"/>
      <c r="J139" s="215" t="s">
        <v>6</v>
      </c>
      <c r="Q139" s="117">
        <v>8398607</v>
      </c>
      <c r="R139" s="19" t="s">
        <v>4732</v>
      </c>
      <c r="S139" s="19">
        <f>S138-8</f>
        <v>88</v>
      </c>
      <c r="T139" s="19" t="s">
        <v>4734</v>
      </c>
      <c r="U139" s="215">
        <v>3120.5</v>
      </c>
      <c r="V139" s="99">
        <f t="shared" si="33"/>
        <v>3366.1047232876717</v>
      </c>
      <c r="W139" s="32">
        <f t="shared" si="28"/>
        <v>3433.4268177534254</v>
      </c>
      <c r="X139" s="32">
        <f t="shared" si="29"/>
        <v>3500.7489122191787</v>
      </c>
      <c r="AH139" s="121">
        <v>119</v>
      </c>
      <c r="AI139" s="79" t="s">
        <v>4732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4736</v>
      </c>
    </row>
    <row r="140" spans="6:44">
      <c r="M140">
        <v>236</v>
      </c>
      <c r="N140">
        <v>3</v>
      </c>
      <c r="Q140" s="117">
        <v>18565999</v>
      </c>
      <c r="R140" s="19" t="s">
        <v>4735</v>
      </c>
      <c r="S140" s="19">
        <f>S139-1</f>
        <v>87</v>
      </c>
      <c r="T140" s="19" t="s">
        <v>4743</v>
      </c>
      <c r="U140" s="215">
        <v>3112.4</v>
      </c>
      <c r="V140" s="99">
        <f t="shared" si="33"/>
        <v>3354.9796032876716</v>
      </c>
      <c r="W140" s="32">
        <f t="shared" si="28"/>
        <v>3422.0791953534249</v>
      </c>
      <c r="X140" s="32">
        <f t="shared" si="29"/>
        <v>3489.1787874191787</v>
      </c>
      <c r="AH140" s="121">
        <v>120</v>
      </c>
      <c r="AI140" s="79" t="s">
        <v>4735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4683</v>
      </c>
    </row>
    <row r="141" spans="6:44">
      <c r="M141">
        <v>126</v>
      </c>
      <c r="N141">
        <v>1</v>
      </c>
      <c r="O141">
        <f>M140*N140</f>
        <v>708</v>
      </c>
      <c r="Q141" s="117">
        <v>5924703</v>
      </c>
      <c r="R141" s="19" t="s">
        <v>4746</v>
      </c>
      <c r="S141" s="19">
        <f>S140-3</f>
        <v>84</v>
      </c>
      <c r="T141" s="19" t="s">
        <v>4841</v>
      </c>
      <c r="U141" s="215">
        <v>489</v>
      </c>
      <c r="V141" s="99">
        <f t="shared" si="33"/>
        <v>525.98715616438358</v>
      </c>
      <c r="W141" s="32">
        <f t="shared" si="28"/>
        <v>536.50689928767122</v>
      </c>
      <c r="X141" s="32">
        <f t="shared" si="29"/>
        <v>547.02664241095897</v>
      </c>
      <c r="AA141" t="s">
        <v>25</v>
      </c>
      <c r="AH141" s="161">
        <v>121</v>
      </c>
      <c r="AI141" s="230" t="s">
        <v>4805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4808</v>
      </c>
      <c r="AP141" t="s">
        <v>25</v>
      </c>
    </row>
    <row r="142" spans="6:44">
      <c r="L142">
        <v>821</v>
      </c>
      <c r="M142">
        <v>590</v>
      </c>
      <c r="N142">
        <v>0</v>
      </c>
      <c r="O142">
        <f>M141*N141</f>
        <v>126</v>
      </c>
      <c r="Q142" s="117">
        <v>164801</v>
      </c>
      <c r="R142" s="19" t="s">
        <v>4759</v>
      </c>
      <c r="S142" s="19">
        <f>S141-2</f>
        <v>82</v>
      </c>
      <c r="T142" s="19" t="s">
        <v>4764</v>
      </c>
      <c r="U142" s="215">
        <v>3095.1</v>
      </c>
      <c r="V142" s="99">
        <f t="shared" si="33"/>
        <v>3324.459629589041</v>
      </c>
      <c r="W142" s="32">
        <f t="shared" si="28"/>
        <v>3390.9488221808219</v>
      </c>
      <c r="X142" s="32">
        <f t="shared" si="29"/>
        <v>3457.4380147726029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O143" s="96">
        <f>M142*N142</f>
        <v>0</v>
      </c>
      <c r="Q143" s="117">
        <v>223613</v>
      </c>
      <c r="R143" s="19" t="s">
        <v>4759</v>
      </c>
      <c r="S143" s="19">
        <f>S142</f>
        <v>82</v>
      </c>
      <c r="T143" s="19" t="s">
        <v>4765</v>
      </c>
      <c r="U143" s="215">
        <v>4637.1000000000004</v>
      </c>
      <c r="V143" s="99">
        <f t="shared" si="33"/>
        <v>4980.7281665753426</v>
      </c>
      <c r="W143" s="32">
        <f t="shared" si="28"/>
        <v>5080.3427299068499</v>
      </c>
      <c r="X143" s="32">
        <f t="shared" si="29"/>
        <v>5179.9572932383562</v>
      </c>
      <c r="AH143" s="20">
        <v>123</v>
      </c>
      <c r="AI143" s="117" t="s">
        <v>4879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J144" t="s">
        <v>25</v>
      </c>
      <c r="Q144" s="117">
        <v>5001091</v>
      </c>
      <c r="R144" s="19" t="s">
        <v>4768</v>
      </c>
      <c r="S144" s="19">
        <f>S143-1</f>
        <v>81</v>
      </c>
      <c r="T144" s="19" t="s">
        <v>4769</v>
      </c>
      <c r="U144" s="215">
        <v>3125</v>
      </c>
      <c r="V144" s="99">
        <f t="shared" si="33"/>
        <v>3354.178082191781</v>
      </c>
      <c r="W144" s="32">
        <f t="shared" si="28"/>
        <v>3421.2616438356167</v>
      </c>
      <c r="X144" s="32">
        <f t="shared" si="29"/>
        <v>3488.3452054794525</v>
      </c>
      <c r="AH144" s="20">
        <v>124</v>
      </c>
      <c r="AI144" s="117" t="s">
        <v>4886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O145">
        <f>O141+O142+O143</f>
        <v>834</v>
      </c>
      <c r="Q145" s="117">
        <v>12497226</v>
      </c>
      <c r="R145" s="19" t="s">
        <v>4805</v>
      </c>
      <c r="S145" s="19">
        <f>S144-7</f>
        <v>74</v>
      </c>
      <c r="T145" s="19" t="s">
        <v>4809</v>
      </c>
      <c r="U145" s="215">
        <v>3307.5</v>
      </c>
      <c r="V145" s="99">
        <f t="shared" si="33"/>
        <v>3532.3012602739727</v>
      </c>
      <c r="W145" s="32">
        <f t="shared" si="28"/>
        <v>3602.9472854794521</v>
      </c>
      <c r="X145" s="32">
        <f t="shared" si="29"/>
        <v>3673.5933106849316</v>
      </c>
      <c r="AH145" s="20">
        <v>125</v>
      </c>
      <c r="AI145" s="117" t="s">
        <v>4893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6:44">
      <c r="Q146" s="117">
        <v>24695044</v>
      </c>
      <c r="R146" s="19" t="s">
        <v>4805</v>
      </c>
      <c r="S146" s="19">
        <f>S145</f>
        <v>74</v>
      </c>
      <c r="T146" s="19" t="s">
        <v>4810</v>
      </c>
      <c r="U146" s="215">
        <v>5249.5</v>
      </c>
      <c r="V146" s="99">
        <f t="shared" si="33"/>
        <v>5606.2934136986305</v>
      </c>
      <c r="W146" s="32">
        <f t="shared" si="28"/>
        <v>5718.4192819726031</v>
      </c>
      <c r="X146" s="32">
        <f t="shared" si="29"/>
        <v>5830.5451502465758</v>
      </c>
      <c r="AH146" s="23">
        <v>126</v>
      </c>
      <c r="AI146" s="35" t="s">
        <v>4901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4881</v>
      </c>
    </row>
    <row r="147" spans="6:44">
      <c r="Q147" s="117">
        <v>5416530</v>
      </c>
      <c r="R147" s="19" t="s">
        <v>4816</v>
      </c>
      <c r="S147" s="19">
        <f>S146-1</f>
        <v>73</v>
      </c>
      <c r="T147" s="19" t="s">
        <v>4874</v>
      </c>
      <c r="U147" s="215">
        <v>5235</v>
      </c>
      <c r="V147" s="99">
        <f t="shared" si="33"/>
        <v>5586.7920000000004</v>
      </c>
      <c r="W147" s="32">
        <f t="shared" si="28"/>
        <v>5698.5278400000007</v>
      </c>
      <c r="X147" s="32">
        <f t="shared" si="29"/>
        <v>5810.2636800000009</v>
      </c>
      <c r="Y147" s="96"/>
      <c r="Z147" s="96"/>
      <c r="AH147" s="20">
        <v>127</v>
      </c>
      <c r="AI147" s="117" t="s">
        <v>4912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6:44">
      <c r="Q148" s="117">
        <v>153812</v>
      </c>
      <c r="R148" s="19" t="s">
        <v>4847</v>
      </c>
      <c r="S148" s="19">
        <f>S147-6</f>
        <v>67</v>
      </c>
      <c r="T148" s="19" t="s">
        <v>4848</v>
      </c>
      <c r="U148" s="215">
        <v>537.20000000000005</v>
      </c>
      <c r="V148" s="99">
        <f t="shared" si="33"/>
        <v>570.82724821917816</v>
      </c>
      <c r="W148" s="32">
        <f t="shared" si="28"/>
        <v>582.24379318356171</v>
      </c>
      <c r="X148" s="32">
        <f t="shared" si="29"/>
        <v>593.66033814794525</v>
      </c>
      <c r="Y148" s="96"/>
      <c r="Z148" s="96"/>
      <c r="AH148" s="99">
        <v>128</v>
      </c>
      <c r="AI148" s="113" t="s">
        <v>4926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6:44">
      <c r="Q149" s="117">
        <v>10926171</v>
      </c>
      <c r="R149" s="19" t="s">
        <v>4876</v>
      </c>
      <c r="S149" s="19">
        <f>S148-6</f>
        <v>61</v>
      </c>
      <c r="T149" s="19" t="s">
        <v>4878</v>
      </c>
      <c r="U149" s="215">
        <v>5355.4</v>
      </c>
      <c r="V149" s="99">
        <f t="shared" si="33"/>
        <v>5665.9838553424661</v>
      </c>
      <c r="W149" s="32">
        <f t="shared" si="28"/>
        <v>5779.3035324493158</v>
      </c>
      <c r="X149" s="32">
        <f t="shared" si="29"/>
        <v>5892.6232095561645</v>
      </c>
      <c r="Y149" s="96"/>
      <c r="Z149" s="96"/>
      <c r="AH149" s="99">
        <v>129</v>
      </c>
      <c r="AI149" s="113" t="s">
        <v>4954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6:44">
      <c r="P150" s="114"/>
      <c r="Q150" s="169">
        <v>101344</v>
      </c>
      <c r="R150" s="215" t="s">
        <v>4901</v>
      </c>
      <c r="S150" s="215">
        <f>S149-6</f>
        <v>55</v>
      </c>
      <c r="T150" s="215" t="s">
        <v>4904</v>
      </c>
      <c r="U150" s="215">
        <v>113.6</v>
      </c>
      <c r="V150" s="99">
        <f t="shared" si="33"/>
        <v>119.66530630136988</v>
      </c>
      <c r="W150" s="32">
        <f t="shared" si="28"/>
        <v>122.05861242739728</v>
      </c>
      <c r="X150" s="32">
        <f t="shared" si="29"/>
        <v>124.45191855342468</v>
      </c>
      <c r="Y150" s="96"/>
      <c r="Z150" s="96"/>
      <c r="AA150" s="114"/>
      <c r="AC150" s="114"/>
      <c r="AD150" s="114"/>
      <c r="AH150" s="99">
        <v>130</v>
      </c>
      <c r="AI150" s="113" t="s">
        <v>4955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4960</v>
      </c>
      <c r="AP150" t="s">
        <v>25</v>
      </c>
    </row>
    <row r="151" spans="6:44">
      <c r="Q151" s="169">
        <v>2148718</v>
      </c>
      <c r="R151" s="215" t="s">
        <v>4901</v>
      </c>
      <c r="S151" s="215">
        <f>S150</f>
        <v>55</v>
      </c>
      <c r="T151" s="215" t="s">
        <v>4905</v>
      </c>
      <c r="U151" s="215">
        <v>3400.3</v>
      </c>
      <c r="V151" s="99">
        <f t="shared" si="33"/>
        <v>3581.848072328768</v>
      </c>
      <c r="W151" s="32">
        <f t="shared" si="28"/>
        <v>3653.4850337753433</v>
      </c>
      <c r="X151" s="32">
        <f t="shared" si="29"/>
        <v>3725.121995221919</v>
      </c>
      <c r="Y151" s="96"/>
      <c r="Z151" s="96"/>
      <c r="AA151" s="114"/>
      <c r="AC151" s="114"/>
      <c r="AH151" s="99">
        <v>131</v>
      </c>
      <c r="AI151" s="113" t="s">
        <v>4955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4959</v>
      </c>
    </row>
    <row r="152" spans="6:44">
      <c r="Q152" s="169">
        <v>119669</v>
      </c>
      <c r="R152" s="215" t="s">
        <v>981</v>
      </c>
      <c r="S152" s="215">
        <f>S151-2</f>
        <v>53</v>
      </c>
      <c r="T152" s="215" t="s">
        <v>4922</v>
      </c>
      <c r="U152" s="215">
        <v>3609.6</v>
      </c>
      <c r="V152" s="99">
        <f t="shared" si="33"/>
        <v>3796.7849556164388</v>
      </c>
      <c r="W152" s="32">
        <f t="shared" si="28"/>
        <v>3872.7206547287674</v>
      </c>
      <c r="X152" s="32">
        <f t="shared" si="29"/>
        <v>3948.6563538410965</v>
      </c>
      <c r="Y152" s="96"/>
      <c r="Z152" s="96"/>
      <c r="AA152" s="114"/>
      <c r="AC152" s="114"/>
      <c r="AD152" s="114"/>
      <c r="AH152" s="99">
        <v>132</v>
      </c>
      <c r="AI152" s="113" t="s">
        <v>4976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6:44">
      <c r="Q153" s="169">
        <v>17086367</v>
      </c>
      <c r="R153" s="215" t="s">
        <v>4955</v>
      </c>
      <c r="S153" s="215">
        <f>S152-19</f>
        <v>34</v>
      </c>
      <c r="T153" s="215" t="s">
        <v>4963</v>
      </c>
      <c r="U153" s="215">
        <v>3751.1</v>
      </c>
      <c r="V153" s="99">
        <f t="shared" si="33"/>
        <v>3890.9492295890409</v>
      </c>
      <c r="W153" s="32">
        <f t="shared" si="28"/>
        <v>3968.7682141808218</v>
      </c>
      <c r="X153" s="32">
        <f t="shared" si="29"/>
        <v>4046.5871987726027</v>
      </c>
      <c r="Y153" s="96"/>
      <c r="Z153" s="96"/>
      <c r="AH153" s="99">
        <v>133</v>
      </c>
      <c r="AI153" s="113" t="s">
        <v>5015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6:44">
      <c r="Q154" s="169">
        <v>26970108</v>
      </c>
      <c r="R154" s="215" t="s">
        <v>4955</v>
      </c>
      <c r="S154" s="215">
        <f>S153</f>
        <v>34</v>
      </c>
      <c r="T154" s="215" t="s">
        <v>4964</v>
      </c>
      <c r="U154" s="215">
        <v>6110.2</v>
      </c>
      <c r="V154" s="99">
        <f t="shared" si="33"/>
        <v>6338.0016482191777</v>
      </c>
      <c r="W154" s="32">
        <f t="shared" si="28"/>
        <v>6464.7616811835614</v>
      </c>
      <c r="X154" s="32">
        <f t="shared" si="29"/>
        <v>6591.5217141479452</v>
      </c>
      <c r="Y154" s="96"/>
      <c r="Z154" s="96"/>
      <c r="AH154" s="99">
        <v>134</v>
      </c>
      <c r="AI154" s="113" t="s">
        <v>5042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6:44">
      <c r="P155" s="114"/>
      <c r="Q155" s="169">
        <v>6150141</v>
      </c>
      <c r="R155" s="215" t="s">
        <v>4955</v>
      </c>
      <c r="S155" s="215">
        <f>S154</f>
        <v>34</v>
      </c>
      <c r="T155" s="215" t="s">
        <v>4965</v>
      </c>
      <c r="U155" s="215">
        <v>180.6</v>
      </c>
      <c r="V155" s="99">
        <f t="shared" si="33"/>
        <v>187.33316383561643</v>
      </c>
      <c r="W155" s="32">
        <f t="shared" si="28"/>
        <v>191.07982711232876</v>
      </c>
      <c r="X155" s="32">
        <f t="shared" si="29"/>
        <v>194.82649038904108</v>
      </c>
      <c r="Y155" s="96"/>
      <c r="Z155" s="96"/>
      <c r="AH155" s="99">
        <v>135</v>
      </c>
      <c r="AI155" s="113" t="s">
        <v>4987</v>
      </c>
      <c r="AJ155" s="113">
        <v>250000</v>
      </c>
      <c r="AK155" s="99">
        <v>6</v>
      </c>
      <c r="AL155" s="20">
        <f t="shared" si="39"/>
        <v>6</v>
      </c>
      <c r="AM155" s="117">
        <f t="shared" si="40"/>
        <v>1500000</v>
      </c>
      <c r="AN155" s="20"/>
    </row>
    <row r="156" spans="6:44">
      <c r="Q156" s="169">
        <v>162112</v>
      </c>
      <c r="R156" s="215" t="s">
        <v>4981</v>
      </c>
      <c r="S156" s="215">
        <f>S155-7</f>
        <v>27</v>
      </c>
      <c r="T156" s="215" t="s">
        <v>4984</v>
      </c>
      <c r="U156" s="215">
        <v>632.79999999999995</v>
      </c>
      <c r="V156" s="99">
        <f t="shared" si="33"/>
        <v>652.99412164383568</v>
      </c>
      <c r="W156" s="32">
        <f t="shared" si="28"/>
        <v>666.05400407671243</v>
      </c>
      <c r="X156" s="32">
        <f t="shared" si="29"/>
        <v>679.11388650958918</v>
      </c>
      <c r="Y156" s="96"/>
      <c r="Z156" s="96"/>
      <c r="AH156" s="99">
        <v>136</v>
      </c>
      <c r="AI156" s="113" t="s">
        <v>5055</v>
      </c>
      <c r="AJ156" s="113">
        <v>-48527480</v>
      </c>
      <c r="AK156" s="99">
        <v>1</v>
      </c>
      <c r="AL156" s="20">
        <f t="shared" si="39"/>
        <v>1</v>
      </c>
      <c r="AM156" s="117">
        <f t="shared" si="40"/>
        <v>-48527480</v>
      </c>
      <c r="AN156" s="20" t="s">
        <v>5058</v>
      </c>
      <c r="AQ156" t="s">
        <v>25</v>
      </c>
    </row>
    <row r="157" spans="6:44">
      <c r="Q157" s="169">
        <v>1399908</v>
      </c>
      <c r="R157" s="215" t="s">
        <v>5038</v>
      </c>
      <c r="S157" s="215">
        <f>S156-13</f>
        <v>14</v>
      </c>
      <c r="T157" s="215" t="s">
        <v>5039</v>
      </c>
      <c r="U157" s="215">
        <v>194</v>
      </c>
      <c r="V157" s="99">
        <f t="shared" si="33"/>
        <v>198.25630684931511</v>
      </c>
      <c r="W157" s="32">
        <f t="shared" si="28"/>
        <v>202.22143298630141</v>
      </c>
      <c r="X157" s="32">
        <f t="shared" si="29"/>
        <v>206.18655912328771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6:44">
      <c r="Q158" s="169">
        <v>466793</v>
      </c>
      <c r="R158" s="215" t="s">
        <v>5044</v>
      </c>
      <c r="S158" s="215">
        <f>S157-3</f>
        <v>11</v>
      </c>
      <c r="T158" s="215" t="s">
        <v>5046</v>
      </c>
      <c r="U158" s="215">
        <v>4005.5</v>
      </c>
      <c r="V158" s="99">
        <f t="shared" si="33"/>
        <v>4084.1614356164387</v>
      </c>
      <c r="W158" s="32">
        <f t="shared" si="28"/>
        <v>4165.8446643287671</v>
      </c>
      <c r="X158" s="32">
        <f t="shared" si="29"/>
        <v>4247.5278930410959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6:44">
      <c r="Q159" s="169">
        <v>250500</v>
      </c>
      <c r="R159" s="215" t="s">
        <v>4987</v>
      </c>
      <c r="S159" s="215">
        <f>S158-1</f>
        <v>10</v>
      </c>
      <c r="T159" s="215" t="s">
        <v>5049</v>
      </c>
      <c r="U159" s="215">
        <v>4087.6</v>
      </c>
      <c r="V159" s="99">
        <f t="shared" ref="V159:V190" si="41">U159*(1+$N$88+$Q$15*S159/36500)</f>
        <v>4164.7380515068498</v>
      </c>
      <c r="W159" s="32">
        <f t="shared" si="28"/>
        <v>4248.032812536987</v>
      </c>
      <c r="X159" s="32">
        <f t="shared" si="29"/>
        <v>4331.3275735671241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6:44">
      <c r="F160" t="s">
        <v>4882</v>
      </c>
      <c r="G160">
        <v>1200</v>
      </c>
      <c r="H160" t="s">
        <v>4883</v>
      </c>
      <c r="Q160" s="169">
        <v>1204033</v>
      </c>
      <c r="R160" s="215" t="s">
        <v>5051</v>
      </c>
      <c r="S160" s="215">
        <f>S159-3</f>
        <v>7</v>
      </c>
      <c r="T160" s="215" t="s">
        <v>5054</v>
      </c>
      <c r="U160" s="215">
        <v>218.5</v>
      </c>
      <c r="V160" s="99">
        <f t="shared" si="41"/>
        <v>222.12051506849318</v>
      </c>
      <c r="W160" s="32">
        <f t="shared" si="28"/>
        <v>226.56292536986305</v>
      </c>
      <c r="X160" s="32">
        <f t="shared" si="29"/>
        <v>231.0053356712329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7:40">
      <c r="G161">
        <v>1350</v>
      </c>
      <c r="H161" t="s">
        <v>4884</v>
      </c>
      <c r="Q161" s="169">
        <v>1602603</v>
      </c>
      <c r="R161" s="215" t="s">
        <v>5056</v>
      </c>
      <c r="S161" s="215">
        <f>S160-1</f>
        <v>6</v>
      </c>
      <c r="T161" s="215" t="s">
        <v>5057</v>
      </c>
      <c r="U161" s="215">
        <v>4079.8</v>
      </c>
      <c r="V161" s="99">
        <f t="shared" si="41"/>
        <v>4144.2720175342465</v>
      </c>
      <c r="W161" s="32">
        <f t="shared" si="28"/>
        <v>4227.1574578849313</v>
      </c>
      <c r="X161" s="32">
        <f t="shared" si="29"/>
        <v>4310.0428982356161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7:40">
      <c r="G162">
        <v>1050</v>
      </c>
      <c r="H162" t="s">
        <v>4885</v>
      </c>
      <c r="Q162" s="169">
        <v>34125292</v>
      </c>
      <c r="R162" s="215" t="s">
        <v>5065</v>
      </c>
      <c r="S162" s="215">
        <f>S161-6</f>
        <v>0</v>
      </c>
      <c r="T162" s="215" t="s">
        <v>5072</v>
      </c>
      <c r="U162" s="215">
        <v>3686.5</v>
      </c>
      <c r="V162" s="99">
        <f t="shared" si="41"/>
        <v>3727.7888000000003</v>
      </c>
      <c r="W162" s="32">
        <f t="shared" si="28"/>
        <v>3802.3445760000004</v>
      </c>
      <c r="X162" s="32">
        <f t="shared" si="29"/>
        <v>3876.9003520000006</v>
      </c>
      <c r="Y162" t="s">
        <v>25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7:40">
      <c r="Q163" s="169">
        <v>8382674</v>
      </c>
      <c r="R163" s="215" t="s">
        <v>5065</v>
      </c>
      <c r="S163" s="215">
        <f>S162</f>
        <v>0</v>
      </c>
      <c r="T163" s="215" t="s">
        <v>5073</v>
      </c>
      <c r="U163" s="215">
        <v>192</v>
      </c>
      <c r="V163" s="99">
        <f t="shared" si="41"/>
        <v>194.15040000000002</v>
      </c>
      <c r="W163" s="32">
        <f t="shared" si="28"/>
        <v>198.03340800000004</v>
      </c>
      <c r="X163" s="32">
        <f t="shared" si="29"/>
        <v>201.91641600000003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7:40">
      <c r="P164" s="114"/>
      <c r="Q164" s="169"/>
      <c r="R164" s="168"/>
      <c r="S164" s="168"/>
      <c r="T164" s="168"/>
      <c r="U164" s="168"/>
      <c r="V164" s="99">
        <f>U164*(1+$N$88+$Q$15*S164/36500)</f>
        <v>0</v>
      </c>
      <c r="W164" s="32">
        <f t="shared" si="28"/>
        <v>0</v>
      </c>
      <c r="X164" s="32">
        <f t="shared" si="29"/>
        <v>0</v>
      </c>
      <c r="Y164" t="s">
        <v>25</v>
      </c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7:40">
      <c r="P165" s="114"/>
      <c r="Q165" s="113">
        <f>SUM(N46:N57)-SUM(Q95:Q164)</f>
        <v>77656377.300000072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7:40"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7:40"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7:40"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7:40">
      <c r="P169" s="114"/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7:40">
      <c r="R170" s="32">
        <f>R168-R169</f>
        <v>1030</v>
      </c>
      <c r="S170" s="1">
        <f>R170*S168/R168</f>
        <v>5416529.5282258065</v>
      </c>
      <c r="U170" s="122" t="s">
        <v>25</v>
      </c>
      <c r="V170" s="96"/>
      <c r="W170"/>
      <c r="X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7:40">
      <c r="P171" s="114"/>
      <c r="V171" s="96"/>
      <c r="W171"/>
      <c r="X171" t="s">
        <v>25</v>
      </c>
      <c r="AI171" t="s">
        <v>4064</v>
      </c>
      <c r="AJ171" s="114">
        <f>SUM(N44:N57)</f>
        <v>729025427.30000007</v>
      </c>
    </row>
    <row r="172" spans="7:40">
      <c r="O172" s="96"/>
      <c r="P172" s="114"/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197788794.30000007</v>
      </c>
      <c r="AM172" t="s">
        <v>25</v>
      </c>
    </row>
    <row r="173" spans="7:40">
      <c r="O173" s="96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Y173" t="s">
        <v>25</v>
      </c>
      <c r="AI173" t="s">
        <v>943</v>
      </c>
      <c r="AJ173" s="114">
        <f>AN165</f>
        <v>34783214.272415452</v>
      </c>
      <c r="AN173" t="s">
        <v>25</v>
      </c>
    </row>
    <row r="174" spans="7:40"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163005580.02758467</v>
      </c>
      <c r="AN174" t="s">
        <v>25</v>
      </c>
    </row>
    <row r="175" spans="7:40">
      <c r="Q175" s="168" t="s">
        <v>751</v>
      </c>
      <c r="R175" s="56">
        <v>1716161</v>
      </c>
      <c r="S175" s="113">
        <f>R175*$T$260</f>
        <v>557376864.42645156</v>
      </c>
      <c r="T175" s="168"/>
      <c r="U175" s="168">
        <f>$Q$173*$T$173*S175/$R$199</f>
        <v>361.78756039767609</v>
      </c>
      <c r="V175" s="95">
        <f>S175+U175</f>
        <v>557377226.21401191</v>
      </c>
      <c r="W175" s="99">
        <f>R175*100/U257</f>
        <v>48.238341386356801</v>
      </c>
      <c r="X175" s="219"/>
      <c r="Y175" t="s">
        <v>25</v>
      </c>
      <c r="AM175" t="s">
        <v>25</v>
      </c>
    </row>
    <row r="176" spans="7:40">
      <c r="Q176" s="168" t="s">
        <v>4452</v>
      </c>
      <c r="R176" s="56">
        <v>1685765</v>
      </c>
      <c r="S176" s="113">
        <f>R176*$T$260</f>
        <v>547504814.44331682</v>
      </c>
      <c r="T176" s="168"/>
      <c r="U176" s="215">
        <f>$Q$173*$T$173*S176/$R$199</f>
        <v>355.37971481334694</v>
      </c>
      <c r="V176" s="95">
        <f t="shared" ref="V176:V177" si="42">S176+U176</f>
        <v>547505169.82303166</v>
      </c>
      <c r="W176" s="99">
        <f>R176*100/U257</f>
        <v>47.383961975112925</v>
      </c>
      <c r="X176" s="115"/>
      <c r="Y176" t="s">
        <v>25</v>
      </c>
      <c r="AJ176" t="s">
        <v>25</v>
      </c>
    </row>
    <row r="177" spans="16:44">
      <c r="Q177" s="168" t="s">
        <v>4451</v>
      </c>
      <c r="R177" s="56">
        <v>53811</v>
      </c>
      <c r="S177" s="113">
        <f>R177*$T$260</f>
        <v>17476802.264852647</v>
      </c>
      <c r="T177" s="168"/>
      <c r="U177" s="215">
        <f>$Q$173*$T$173*S177/$R$199</f>
        <v>11.344011670559665</v>
      </c>
      <c r="V177" s="95">
        <f t="shared" si="42"/>
        <v>17476813.608864319</v>
      </c>
      <c r="W177" s="99">
        <f>R177*100/U257</f>
        <v>1.5125348894079551</v>
      </c>
      <c r="X177" s="115"/>
    </row>
    <row r="178" spans="16:44">
      <c r="Q178" s="168" t="s">
        <v>1087</v>
      </c>
      <c r="R178" s="56">
        <v>101933</v>
      </c>
      <c r="S178" s="113">
        <f>R178*$T$260</f>
        <v>33105924.165379286</v>
      </c>
      <c r="T178" s="168"/>
      <c r="U178" s="215">
        <f>$Q$173*$T$173*S178/$R$199</f>
        <v>21.488713118417394</v>
      </c>
      <c r="V178" s="95">
        <f>S178+U178</f>
        <v>33105945.654092405</v>
      </c>
      <c r="W178" s="99">
        <f>R178*100/U257</f>
        <v>2.8651617491223189</v>
      </c>
      <c r="X178" s="115"/>
    </row>
    <row r="179" spans="16:44">
      <c r="P179">
        <f>R176+776</f>
        <v>1686541</v>
      </c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294</v>
      </c>
      <c r="AM183" s="99">
        <f t="shared" ref="AM183:AM211" si="44">AJ183*AL183</f>
        <v>505926078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243</v>
      </c>
      <c r="AM184" s="99">
        <f t="shared" si="44"/>
        <v>36450000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240</v>
      </c>
      <c r="AM185" s="99">
        <f t="shared" si="44"/>
        <v>-22800000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232</v>
      </c>
      <c r="AM186" s="99">
        <f t="shared" si="44"/>
        <v>730800000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216</v>
      </c>
      <c r="AM187" s="99">
        <f t="shared" si="44"/>
        <v>-14040000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215</v>
      </c>
      <c r="AM188" s="99">
        <f t="shared" si="44"/>
        <v>-20425000</v>
      </c>
      <c r="AN188" s="99"/>
    </row>
    <row r="189" spans="16:44">
      <c r="Q189" s="36" t="s">
        <v>4572</v>
      </c>
      <c r="R189" s="95">
        <f>SUM(N46:N57)</f>
        <v>729021886.30000007</v>
      </c>
      <c r="T189" s="113" t="s">
        <v>4462</v>
      </c>
      <c r="U189" s="56">
        <v>1000000</v>
      </c>
      <c r="V189" s="113">
        <v>239.024</v>
      </c>
      <c r="W189" s="113">
        <f t="shared" ref="W189:W255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209</v>
      </c>
      <c r="AM189" s="99">
        <f t="shared" si="44"/>
        <v>48488000</v>
      </c>
      <c r="AN189" s="99"/>
    </row>
    <row r="190" spans="16:44">
      <c r="Q190" s="99" t="s">
        <v>4453</v>
      </c>
      <c r="R190" s="95">
        <f>SUM(N21:N26)</f>
        <v>385314870.60000002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202</v>
      </c>
      <c r="AM190" s="99">
        <f t="shared" si="44"/>
        <v>2626000000</v>
      </c>
      <c r="AN190" s="99"/>
    </row>
    <row r="191" spans="16:44">
      <c r="Q191" s="99" t="s">
        <v>4454</v>
      </c>
      <c r="R191" s="95">
        <f>SUM(N29:N33)</f>
        <v>38600373.399999999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200</v>
      </c>
      <c r="AM191" s="99">
        <f t="shared" si="44"/>
        <v>2000000000</v>
      </c>
      <c r="AN191" s="99"/>
    </row>
    <row r="192" spans="16:44">
      <c r="Q192" s="99" t="s">
        <v>4455</v>
      </c>
      <c r="R192" s="95">
        <f>N44</f>
        <v>3541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197</v>
      </c>
      <c r="AM192" s="99">
        <f t="shared" si="44"/>
        <v>669800000</v>
      </c>
      <c r="AN192" s="99"/>
    </row>
    <row r="193" spans="15:44">
      <c r="Q193" s="99" t="s">
        <v>4456</v>
      </c>
      <c r="R193" s="95">
        <f>N20</f>
        <v>2948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44"/>
        <v>-1642464632</v>
      </c>
      <c r="AN193" s="99"/>
    </row>
    <row r="194" spans="15:44">
      <c r="Q194" s="99" t="s">
        <v>4457</v>
      </c>
      <c r="R194" s="95">
        <f>N28</f>
        <v>4531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187</v>
      </c>
      <c r="AM194" s="99">
        <f t="shared" si="44"/>
        <v>103785000</v>
      </c>
      <c r="AN194" s="99"/>
    </row>
    <row r="195" spans="15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182</v>
      </c>
      <c r="AM195" s="99">
        <f t="shared" si="44"/>
        <v>-81592056</v>
      </c>
      <c r="AN195" s="99"/>
    </row>
    <row r="196" spans="15:44">
      <c r="Q196" s="99" t="s">
        <v>5016</v>
      </c>
      <c r="R196" s="95">
        <v>796360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176</v>
      </c>
      <c r="AM196" s="99">
        <f t="shared" si="44"/>
        <v>5847600</v>
      </c>
      <c r="AN196" s="99"/>
    </row>
    <row r="197" spans="15:44">
      <c r="Q197" s="99" t="s">
        <v>4924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176</v>
      </c>
      <c r="AM197" s="149">
        <f t="shared" si="44"/>
        <v>721340048</v>
      </c>
      <c r="AN197" s="149" t="s">
        <v>657</v>
      </c>
    </row>
    <row r="198" spans="15:44">
      <c r="Q198" s="99" t="s">
        <v>5059</v>
      </c>
      <c r="R198" s="95">
        <v>1519895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174</v>
      </c>
      <c r="AM198" s="149">
        <f t="shared" si="44"/>
        <v>-174000000</v>
      </c>
      <c r="AN198" s="149" t="s">
        <v>657</v>
      </c>
    </row>
    <row r="199" spans="15:44">
      <c r="P199" s="96"/>
      <c r="Q199" s="99" t="s">
        <v>4461</v>
      </c>
      <c r="R199" s="95">
        <f>SUM(R189:R198)</f>
        <v>1155464405.3000002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167</v>
      </c>
      <c r="AM199" s="149">
        <f t="shared" si="44"/>
        <v>125250000</v>
      </c>
      <c r="AN199" s="149" t="s">
        <v>657</v>
      </c>
      <c r="AQ199" t="s">
        <v>25</v>
      </c>
    </row>
    <row r="200" spans="15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166</v>
      </c>
      <c r="AM200" s="196">
        <f t="shared" si="44"/>
        <v>-100289232</v>
      </c>
      <c r="AN200" s="196" t="s">
        <v>657</v>
      </c>
    </row>
    <row r="201" spans="15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166</v>
      </c>
      <c r="AM201" s="99">
        <f t="shared" si="44"/>
        <v>-97455778</v>
      </c>
      <c r="AN201" s="99"/>
    </row>
    <row r="202" spans="15:44">
      <c r="Q202" s="96"/>
      <c r="R202" s="182"/>
      <c r="T202" s="168" t="s">
        <v>4634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162</v>
      </c>
      <c r="AM202" s="196">
        <f t="shared" si="44"/>
        <v>-122204862</v>
      </c>
      <c r="AN202" s="196" t="s">
        <v>657</v>
      </c>
      <c r="AR202" t="s">
        <v>25</v>
      </c>
    </row>
    <row r="203" spans="15:44">
      <c r="Q203" s="96"/>
      <c r="R203" s="115"/>
      <c r="T203" s="168" t="s">
        <v>4634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162</v>
      </c>
      <c r="AM203" s="99">
        <f t="shared" si="44"/>
        <v>-30718278</v>
      </c>
      <c r="AN203" s="99"/>
    </row>
    <row r="204" spans="15:44">
      <c r="P204" s="114"/>
      <c r="T204" s="168" t="s">
        <v>4637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147</v>
      </c>
      <c r="AM204" s="196">
        <f t="shared" si="44"/>
        <v>1043700</v>
      </c>
      <c r="AN204" s="196" t="s">
        <v>657</v>
      </c>
    </row>
    <row r="205" spans="15:44">
      <c r="Q205" s="99" t="s">
        <v>4451</v>
      </c>
      <c r="R205" s="99"/>
      <c r="T205" s="168" t="s">
        <v>4637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147</v>
      </c>
      <c r="AM205" s="20">
        <f t="shared" si="44"/>
        <v>-21741594</v>
      </c>
      <c r="AN205" s="20"/>
      <c r="AR205" t="s">
        <v>25</v>
      </c>
    </row>
    <row r="206" spans="15:44">
      <c r="O206" t="s">
        <v>25</v>
      </c>
      <c r="P206" s="96"/>
      <c r="Q206" s="36" t="s">
        <v>180</v>
      </c>
      <c r="R206" s="99" t="s">
        <v>267</v>
      </c>
      <c r="T206" s="168" t="s">
        <v>4664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144</v>
      </c>
      <c r="AM206" s="196">
        <f t="shared" si="44"/>
        <v>-5356800</v>
      </c>
      <c r="AN206" s="149" t="s">
        <v>657</v>
      </c>
    </row>
    <row r="207" spans="15:44">
      <c r="Q207" s="99" t="s">
        <v>4444</v>
      </c>
      <c r="R207" s="95">
        <v>3000000</v>
      </c>
      <c r="T207" s="168" t="s">
        <v>4664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140</v>
      </c>
      <c r="AM207" s="20">
        <f t="shared" si="44"/>
        <v>-52125640</v>
      </c>
      <c r="AN207" s="99"/>
    </row>
    <row r="208" spans="15:44">
      <c r="Q208" s="99" t="s">
        <v>4498</v>
      </c>
      <c r="R208" s="95">
        <v>2000000</v>
      </c>
      <c r="T208" s="168" t="s">
        <v>4669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119</v>
      </c>
      <c r="AM208" s="20">
        <f t="shared" si="44"/>
        <v>27972378</v>
      </c>
      <c r="AN208" s="99"/>
    </row>
    <row r="209" spans="16:45">
      <c r="Q209" s="99" t="s">
        <v>4506</v>
      </c>
      <c r="R209" s="95">
        <v>1000000</v>
      </c>
      <c r="T209" s="168" t="s">
        <v>4679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119</v>
      </c>
      <c r="AM209" s="149">
        <f t="shared" si="44"/>
        <v>27972378</v>
      </c>
      <c r="AN209" s="149" t="s">
        <v>657</v>
      </c>
      <c r="AP209" t="s">
        <v>25</v>
      </c>
    </row>
    <row r="210" spans="16:45">
      <c r="Q210" s="99" t="s">
        <v>4512</v>
      </c>
      <c r="R210" s="95">
        <v>2000000</v>
      </c>
      <c r="T210" s="168" t="s">
        <v>4679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4637</v>
      </c>
      <c r="AJ210" s="189">
        <v>450000</v>
      </c>
      <c r="AK210" s="149">
        <v>0</v>
      </c>
      <c r="AL210" s="99">
        <f t="shared" si="46"/>
        <v>110</v>
      </c>
      <c r="AM210" s="149">
        <f t="shared" si="44"/>
        <v>49500000</v>
      </c>
      <c r="AN210" s="149" t="s">
        <v>657</v>
      </c>
    </row>
    <row r="211" spans="16:45">
      <c r="Q211" s="99" t="s">
        <v>994</v>
      </c>
      <c r="R211" s="95">
        <v>3000000</v>
      </c>
      <c r="T211" s="212" t="s">
        <v>4682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4637</v>
      </c>
      <c r="AJ211" s="117">
        <v>450000</v>
      </c>
      <c r="AK211" s="20">
        <v>22</v>
      </c>
      <c r="AL211" s="99">
        <f>AK211+AL212</f>
        <v>110</v>
      </c>
      <c r="AM211" s="20">
        <f t="shared" si="44"/>
        <v>49500000</v>
      </c>
      <c r="AN211" s="20"/>
      <c r="AR211" t="s">
        <v>25</v>
      </c>
    </row>
    <row r="212" spans="16:45">
      <c r="P212" s="96"/>
      <c r="Q212" s="99" t="s">
        <v>4669</v>
      </c>
      <c r="R212" s="95">
        <v>3000000</v>
      </c>
      <c r="T212" s="212" t="s">
        <v>4682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4735</v>
      </c>
      <c r="AJ212" s="189">
        <v>300000</v>
      </c>
      <c r="AK212" s="149">
        <v>0</v>
      </c>
      <c r="AL212" s="149">
        <f t="shared" ref="AL212:AL227" si="47">AK212+AL213</f>
        <v>88</v>
      </c>
      <c r="AM212" s="149">
        <f t="shared" ref="AM212:AM215" si="48">AJ212*AL212</f>
        <v>26400000</v>
      </c>
      <c r="AN212" s="149"/>
      <c r="AQ212" t="s">
        <v>25</v>
      </c>
    </row>
    <row r="213" spans="16:45" ht="30">
      <c r="Q213" s="99" t="s">
        <v>4901</v>
      </c>
      <c r="R213" s="95">
        <v>-800000</v>
      </c>
      <c r="T213" s="215" t="s">
        <v>4716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4735</v>
      </c>
      <c r="AJ213" s="79">
        <v>288936</v>
      </c>
      <c r="AK213" s="121">
        <v>3</v>
      </c>
      <c r="AL213" s="121">
        <f t="shared" si="47"/>
        <v>88</v>
      </c>
      <c r="AM213" s="121">
        <f t="shared" si="48"/>
        <v>25426368</v>
      </c>
      <c r="AN213" s="207" t="s">
        <v>4748</v>
      </c>
    </row>
    <row r="214" spans="16:45">
      <c r="Q214" s="99" t="s">
        <v>4901</v>
      </c>
      <c r="R214" s="95">
        <v>-900000</v>
      </c>
      <c r="T214" s="215" t="s">
        <v>4716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4746</v>
      </c>
      <c r="AJ214" s="79">
        <v>17962491</v>
      </c>
      <c r="AK214" s="121">
        <v>1</v>
      </c>
      <c r="AL214" s="121">
        <f t="shared" si="47"/>
        <v>85</v>
      </c>
      <c r="AM214" s="121">
        <f t="shared" si="48"/>
        <v>1526811735</v>
      </c>
      <c r="AN214" s="121" t="s">
        <v>4753</v>
      </c>
    </row>
    <row r="215" spans="16:45">
      <c r="P215" s="99" t="s">
        <v>8</v>
      </c>
      <c r="Q215" s="99" t="s">
        <v>981</v>
      </c>
      <c r="R215" s="95">
        <v>-1100000</v>
      </c>
      <c r="T215" s="215" t="s">
        <v>4731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84</v>
      </c>
      <c r="AM215" s="121">
        <f t="shared" si="48"/>
        <v>1542534924</v>
      </c>
      <c r="AN215" s="121" t="s">
        <v>4753</v>
      </c>
    </row>
    <row r="216" spans="16:45">
      <c r="P216" s="99"/>
      <c r="Q216" s="196" t="s">
        <v>4941</v>
      </c>
      <c r="R216" s="245">
        <v>30000000</v>
      </c>
      <c r="S216" t="s">
        <v>25</v>
      </c>
      <c r="T216" s="215" t="s">
        <v>4731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4759</v>
      </c>
      <c r="AJ216" s="79">
        <v>23622417</v>
      </c>
      <c r="AK216" s="121">
        <v>5</v>
      </c>
      <c r="AL216" s="121">
        <f t="shared" si="47"/>
        <v>83</v>
      </c>
      <c r="AM216" s="121">
        <f t="shared" ref="AM216:AM219" si="49">AJ216*AL216</f>
        <v>1960660611</v>
      </c>
      <c r="AN216" s="121" t="s">
        <v>4767</v>
      </c>
      <c r="AS216" t="s">
        <v>25</v>
      </c>
    </row>
    <row r="217" spans="16:45">
      <c r="P217" s="99"/>
      <c r="Q217" s="20" t="s">
        <v>5044</v>
      </c>
      <c r="R217" s="250">
        <v>2000000</v>
      </c>
      <c r="T217" s="215" t="s">
        <v>4735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4784</v>
      </c>
      <c r="AJ217" s="79">
        <v>82496108</v>
      </c>
      <c r="AK217" s="121">
        <v>1</v>
      </c>
      <c r="AL217" s="121">
        <f t="shared" si="47"/>
        <v>78</v>
      </c>
      <c r="AM217" s="121">
        <f t="shared" si="49"/>
        <v>6434696424</v>
      </c>
      <c r="AN217" s="121" t="s">
        <v>4787</v>
      </c>
    </row>
    <row r="218" spans="16:45">
      <c r="P218" s="99"/>
      <c r="Q218" s="99"/>
      <c r="R218" s="95"/>
      <c r="T218" s="215" t="s">
        <v>4735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4786</v>
      </c>
      <c r="AJ218" s="79">
        <v>74657561</v>
      </c>
      <c r="AK218" s="121">
        <v>16</v>
      </c>
      <c r="AL218" s="121">
        <f t="shared" si="47"/>
        <v>77</v>
      </c>
      <c r="AM218" s="121">
        <f t="shared" si="49"/>
        <v>5748632197</v>
      </c>
      <c r="AN218" s="121" t="s">
        <v>4795</v>
      </c>
    </row>
    <row r="219" spans="16:45">
      <c r="P219" s="99"/>
      <c r="Q219" s="99"/>
      <c r="R219" s="95">
        <f>SUM(R207:R217)</f>
        <v>43200000</v>
      </c>
      <c r="T219" s="215" t="s">
        <v>4746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4879</v>
      </c>
      <c r="AJ219" s="117">
        <v>665000</v>
      </c>
      <c r="AK219" s="99">
        <v>0</v>
      </c>
      <c r="AL219" s="99">
        <f t="shared" si="47"/>
        <v>61</v>
      </c>
      <c r="AM219" s="20">
        <f t="shared" si="49"/>
        <v>40565000</v>
      </c>
      <c r="AN219" s="99"/>
    </row>
    <row r="220" spans="16:45">
      <c r="P220" s="99"/>
      <c r="Q220" s="99"/>
      <c r="R220" s="99" t="s">
        <v>6</v>
      </c>
      <c r="T220" s="215" t="s">
        <v>4746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4879</v>
      </c>
      <c r="AJ220" s="189">
        <v>665000</v>
      </c>
      <c r="AK220" s="149">
        <v>4</v>
      </c>
      <c r="AL220" s="196">
        <f t="shared" si="47"/>
        <v>61</v>
      </c>
      <c r="AM220" s="196">
        <f t="shared" ref="AM220:AM221" si="50">AJ220*AL220</f>
        <v>40565000</v>
      </c>
      <c r="AN220" s="196"/>
    </row>
    <row r="221" spans="16:45">
      <c r="P221" s="99"/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4893</v>
      </c>
      <c r="AJ221" s="117">
        <v>2000000</v>
      </c>
      <c r="AK221" s="20">
        <v>1</v>
      </c>
      <c r="AL221" s="99">
        <f t="shared" si="47"/>
        <v>57</v>
      </c>
      <c r="AM221" s="20">
        <f t="shared" si="50"/>
        <v>114000000</v>
      </c>
      <c r="AN221" s="99"/>
    </row>
    <row r="222" spans="16:45">
      <c r="P222" s="99"/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4901</v>
      </c>
      <c r="AJ222" s="117">
        <v>-2060725</v>
      </c>
      <c r="AK222" s="20">
        <v>0</v>
      </c>
      <c r="AL222" s="99">
        <f t="shared" si="47"/>
        <v>56</v>
      </c>
      <c r="AM222" s="20">
        <f t="shared" ref="AM222:AM227" si="51">AJ222*AL222</f>
        <v>-115400600</v>
      </c>
      <c r="AN222" s="99" t="s">
        <v>4902</v>
      </c>
    </row>
    <row r="223" spans="16:45">
      <c r="P223" s="99" t="s">
        <v>4908</v>
      </c>
      <c r="Q223" s="96"/>
      <c r="R223" s="96"/>
      <c r="T223" s="215" t="s">
        <v>4759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4901</v>
      </c>
      <c r="AJ223" s="189">
        <v>-433375</v>
      </c>
      <c r="AK223" s="149">
        <v>0</v>
      </c>
      <c r="AL223" s="149">
        <f t="shared" si="47"/>
        <v>56</v>
      </c>
      <c r="AM223" s="149">
        <f t="shared" si="51"/>
        <v>-24269000</v>
      </c>
      <c r="AN223" s="149" t="s">
        <v>4903</v>
      </c>
    </row>
    <row r="224" spans="16:45">
      <c r="P224" s="99" t="s">
        <v>4909</v>
      </c>
      <c r="T224" s="215" t="s">
        <v>4759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4901</v>
      </c>
      <c r="AJ224" s="117">
        <v>28000000</v>
      </c>
      <c r="AK224" s="20">
        <v>1</v>
      </c>
      <c r="AL224" s="99">
        <f t="shared" si="47"/>
        <v>56</v>
      </c>
      <c r="AM224" s="20">
        <f t="shared" si="51"/>
        <v>1568000000</v>
      </c>
      <c r="AN224" s="99" t="s">
        <v>3891</v>
      </c>
    </row>
    <row r="225" spans="16:44">
      <c r="P225" s="99" t="s">
        <v>4909</v>
      </c>
      <c r="Q225" s="99" t="s">
        <v>751</v>
      </c>
      <c r="R225" s="99"/>
      <c r="T225" s="215" t="s">
        <v>4768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4912</v>
      </c>
      <c r="AJ225" s="117">
        <v>160000</v>
      </c>
      <c r="AK225" s="20">
        <v>0</v>
      </c>
      <c r="AL225" s="99">
        <f t="shared" si="47"/>
        <v>55</v>
      </c>
      <c r="AM225" s="20">
        <f t="shared" si="51"/>
        <v>8800000</v>
      </c>
      <c r="AN225" s="99"/>
    </row>
    <row r="226" spans="16:44">
      <c r="P226" s="196" t="s">
        <v>1087</v>
      </c>
      <c r="Q226" s="99" t="s">
        <v>4444</v>
      </c>
      <c r="R226" s="95">
        <v>172908000</v>
      </c>
      <c r="T226" s="215" t="s">
        <v>4768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4912</v>
      </c>
      <c r="AJ226" s="189">
        <v>70000</v>
      </c>
      <c r="AK226" s="149">
        <v>9</v>
      </c>
      <c r="AL226" s="149">
        <f t="shared" si="47"/>
        <v>55</v>
      </c>
      <c r="AM226" s="149">
        <f t="shared" si="51"/>
        <v>3850000</v>
      </c>
      <c r="AN226" s="149"/>
    </row>
    <row r="227" spans="16:44">
      <c r="P227" s="20" t="s">
        <v>5048</v>
      </c>
      <c r="Q227" s="99" t="s">
        <v>4485</v>
      </c>
      <c r="R227" s="95">
        <v>1400000</v>
      </c>
      <c r="T227" s="215" t="s">
        <v>4786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4926</v>
      </c>
      <c r="AJ227" s="117">
        <v>850000</v>
      </c>
      <c r="AK227" s="20">
        <v>0</v>
      </c>
      <c r="AL227" s="99">
        <f t="shared" si="47"/>
        <v>46</v>
      </c>
      <c r="AM227" s="20">
        <f t="shared" si="51"/>
        <v>39100000</v>
      </c>
      <c r="AN227" s="99"/>
    </row>
    <row r="228" spans="16:44">
      <c r="P228" s="99"/>
      <c r="Q228" s="99" t="s">
        <v>4232</v>
      </c>
      <c r="R228" s="95">
        <v>247393</v>
      </c>
      <c r="T228" s="215" t="s">
        <v>4786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4926</v>
      </c>
      <c r="AJ228" s="197">
        <v>20000</v>
      </c>
      <c r="AK228" s="196">
        <v>4</v>
      </c>
      <c r="AL228" s="196">
        <f t="shared" ref="AL228:AL249" si="52">AK228+AL229</f>
        <v>46</v>
      </c>
      <c r="AM228" s="196">
        <f t="shared" ref="AM228:AM249" si="53">AJ228*AL228</f>
        <v>920000</v>
      </c>
      <c r="AN228" s="196"/>
      <c r="AQ228" t="s">
        <v>25</v>
      </c>
    </row>
    <row r="229" spans="16:44">
      <c r="P229" s="99"/>
      <c r="Q229" s="99" t="s">
        <v>4231</v>
      </c>
      <c r="R229" s="95">
        <v>6780000</v>
      </c>
      <c r="S229" t="s">
        <v>25</v>
      </c>
      <c r="T229" s="215" t="s">
        <v>4796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4941</v>
      </c>
      <c r="AJ229" s="197">
        <v>30000000</v>
      </c>
      <c r="AK229" s="196">
        <v>27</v>
      </c>
      <c r="AL229" s="196">
        <f t="shared" si="52"/>
        <v>42</v>
      </c>
      <c r="AM229" s="196">
        <f t="shared" si="53"/>
        <v>1260000000</v>
      </c>
      <c r="AN229" s="196" t="s">
        <v>4943</v>
      </c>
    </row>
    <row r="230" spans="16:44">
      <c r="P230" s="99"/>
      <c r="Q230" s="99" t="s">
        <v>4595</v>
      </c>
      <c r="R230" s="95">
        <v>-4000000</v>
      </c>
      <c r="T230" s="215" t="s">
        <v>4796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20">
        <v>49</v>
      </c>
      <c r="AI230" s="20" t="s">
        <v>5038</v>
      </c>
      <c r="AJ230" s="117">
        <v>1100000</v>
      </c>
      <c r="AK230" s="20">
        <v>1</v>
      </c>
      <c r="AL230" s="20">
        <f t="shared" si="52"/>
        <v>15</v>
      </c>
      <c r="AM230" s="20">
        <f t="shared" si="53"/>
        <v>16500000</v>
      </c>
      <c r="AN230" s="20"/>
    </row>
    <row r="231" spans="16:44">
      <c r="Q231" s="99" t="s">
        <v>4628</v>
      </c>
      <c r="R231" s="95">
        <v>16727037</v>
      </c>
      <c r="T231" s="168" t="s">
        <v>4805</v>
      </c>
      <c r="U231" s="168">
        <v>196500</v>
      </c>
      <c r="V231" s="113">
        <v>254.452</v>
      </c>
      <c r="W231" s="113">
        <f t="shared" si="45"/>
        <v>49999818</v>
      </c>
      <c r="X231" s="99" t="s">
        <v>4812</v>
      </c>
      <c r="AH231" s="20">
        <v>50</v>
      </c>
      <c r="AI231" s="20" t="s">
        <v>5040</v>
      </c>
      <c r="AJ231" s="117">
        <v>450000</v>
      </c>
      <c r="AK231" s="20">
        <v>0</v>
      </c>
      <c r="AL231" s="20">
        <f t="shared" si="52"/>
        <v>14</v>
      </c>
      <c r="AM231" s="20">
        <f t="shared" si="53"/>
        <v>6300000</v>
      </c>
      <c r="AN231" s="20"/>
    </row>
    <row r="232" spans="16:44">
      <c r="Q232" s="99" t="s">
        <v>4634</v>
      </c>
      <c r="R232" s="95">
        <v>46460683</v>
      </c>
      <c r="T232" s="215" t="s">
        <v>4805</v>
      </c>
      <c r="U232" s="215">
        <v>2561</v>
      </c>
      <c r="V232" s="113">
        <v>254.536</v>
      </c>
      <c r="W232" s="113">
        <f t="shared" si="45"/>
        <v>651866.696</v>
      </c>
      <c r="X232" s="99" t="s">
        <v>4813</v>
      </c>
      <c r="AH232" s="149">
        <v>51</v>
      </c>
      <c r="AI232" s="149" t="s">
        <v>5040</v>
      </c>
      <c r="AJ232" s="189">
        <v>550000</v>
      </c>
      <c r="AK232" s="149">
        <v>1</v>
      </c>
      <c r="AL232" s="149">
        <f t="shared" si="52"/>
        <v>14</v>
      </c>
      <c r="AM232" s="149">
        <f t="shared" si="53"/>
        <v>7700000</v>
      </c>
      <c r="AN232" s="149"/>
    </row>
    <row r="233" spans="16:44">
      <c r="Q233" s="99" t="s">
        <v>4637</v>
      </c>
      <c r="R233" s="95">
        <v>19663646</v>
      </c>
      <c r="S233" t="s">
        <v>25</v>
      </c>
      <c r="T233" s="215" t="s">
        <v>4862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4863</v>
      </c>
      <c r="AH233" s="149">
        <v>52</v>
      </c>
      <c r="AI233" s="149" t="s">
        <v>5042</v>
      </c>
      <c r="AJ233" s="189">
        <v>1000000</v>
      </c>
      <c r="AK233" s="149">
        <v>8</v>
      </c>
      <c r="AL233" s="149">
        <f t="shared" si="52"/>
        <v>13</v>
      </c>
      <c r="AM233" s="149">
        <f t="shared" si="53"/>
        <v>13000000</v>
      </c>
      <c r="AN233" s="149"/>
    </row>
    <row r="234" spans="16:44">
      <c r="Q234" s="99" t="s">
        <v>4664</v>
      </c>
      <c r="R234" s="95">
        <v>4374525</v>
      </c>
      <c r="T234" s="215" t="s">
        <v>4862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4864</v>
      </c>
      <c r="AH234" s="20">
        <v>53</v>
      </c>
      <c r="AI234" s="20" t="s">
        <v>5055</v>
      </c>
      <c r="AJ234" s="117">
        <v>-2668880</v>
      </c>
      <c r="AK234" s="20">
        <v>0</v>
      </c>
      <c r="AL234" s="20">
        <f t="shared" si="52"/>
        <v>5</v>
      </c>
      <c r="AM234" s="20">
        <f t="shared" si="53"/>
        <v>-13344400</v>
      </c>
      <c r="AN234" s="20" t="s">
        <v>5058</v>
      </c>
    </row>
    <row r="235" spans="16:44">
      <c r="Q235" s="99" t="s">
        <v>4679</v>
      </c>
      <c r="R235" s="95">
        <v>6550580</v>
      </c>
      <c r="T235" s="215" t="s">
        <v>4879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H235" s="149">
        <v>54</v>
      </c>
      <c r="AI235" s="149" t="s">
        <v>5055</v>
      </c>
      <c r="AJ235" s="189">
        <v>-1528620</v>
      </c>
      <c r="AK235" s="149">
        <v>0</v>
      </c>
      <c r="AL235" s="149">
        <f t="shared" si="52"/>
        <v>5</v>
      </c>
      <c r="AM235" s="149">
        <f t="shared" si="53"/>
        <v>-7643100</v>
      </c>
      <c r="AN235" s="149" t="s">
        <v>5058</v>
      </c>
    </row>
    <row r="236" spans="16:44">
      <c r="Q236" s="99" t="s">
        <v>4682</v>
      </c>
      <c r="R236" s="95">
        <v>6650895</v>
      </c>
      <c r="T236" s="215" t="s">
        <v>4893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H236" s="20">
        <v>55</v>
      </c>
      <c r="AI236" s="20" t="s">
        <v>5055</v>
      </c>
      <c r="AJ236" s="117">
        <v>50000000</v>
      </c>
      <c r="AK236" s="20">
        <v>4</v>
      </c>
      <c r="AL236" s="20">
        <f t="shared" si="52"/>
        <v>5</v>
      </c>
      <c r="AM236" s="20">
        <f t="shared" si="53"/>
        <v>250000000</v>
      </c>
      <c r="AN236" s="20"/>
      <c r="AR236" t="s">
        <v>25</v>
      </c>
    </row>
    <row r="237" spans="16:44">
      <c r="Q237" s="99" t="s">
        <v>4716</v>
      </c>
      <c r="R237" s="95">
        <v>2145814</v>
      </c>
      <c r="T237" s="215" t="s">
        <v>4893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H237" s="20">
        <v>56</v>
      </c>
      <c r="AI237" s="20" t="s">
        <v>5065</v>
      </c>
      <c r="AJ237" s="117">
        <v>400000</v>
      </c>
      <c r="AK237" s="20">
        <v>1</v>
      </c>
      <c r="AL237" s="20">
        <f>AK237+AL247</f>
        <v>1</v>
      </c>
      <c r="AM237" s="20">
        <f t="shared" si="53"/>
        <v>400000</v>
      </c>
      <c r="AN237" s="20"/>
      <c r="AR237" t="s">
        <v>25</v>
      </c>
    </row>
    <row r="238" spans="16:44">
      <c r="Q238" s="99" t="s">
        <v>4731</v>
      </c>
      <c r="R238" s="95">
        <v>4369730</v>
      </c>
      <c r="T238" s="215" t="s">
        <v>4901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4914</v>
      </c>
      <c r="AH238" s="20"/>
      <c r="AI238" s="20"/>
      <c r="AJ238" s="117"/>
      <c r="AK238" s="20"/>
      <c r="AL238" s="20"/>
      <c r="AM238" s="20"/>
      <c r="AN238" s="20"/>
    </row>
    <row r="239" spans="16:44">
      <c r="Q239" s="99" t="s">
        <v>4735</v>
      </c>
      <c r="R239" s="95">
        <v>8739459</v>
      </c>
      <c r="T239" s="215" t="s">
        <v>4901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6:44">
      <c r="Q240" s="99" t="s">
        <v>4746</v>
      </c>
      <c r="R240" s="95">
        <v>6667654</v>
      </c>
      <c r="S240" t="s">
        <v>25</v>
      </c>
      <c r="T240" s="215" t="s">
        <v>4912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 t="s">
        <v>4754</v>
      </c>
      <c r="R241" s="95">
        <v>8981245</v>
      </c>
      <c r="T241" s="215" t="s">
        <v>4912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 t="s">
        <v>4759</v>
      </c>
      <c r="R242" s="95">
        <v>9181756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 t="s">
        <v>4768</v>
      </c>
      <c r="R243" s="95">
        <v>11811208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Q244" s="99" t="s">
        <v>4786</v>
      </c>
      <c r="R244" s="95">
        <v>41248054</v>
      </c>
      <c r="S244" t="s">
        <v>25</v>
      </c>
      <c r="T244" s="215" t="s">
        <v>4926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  <c r="AH244" s="20"/>
      <c r="AI244" s="20"/>
      <c r="AJ244" s="117"/>
      <c r="AK244" s="20"/>
      <c r="AL244" s="20"/>
      <c r="AM244" s="20"/>
      <c r="AN244" s="20"/>
    </row>
    <row r="245" spans="17:43">
      <c r="Q245" s="99" t="s">
        <v>4796</v>
      </c>
      <c r="R245" s="95">
        <v>37328780</v>
      </c>
      <c r="S245" t="s">
        <v>25</v>
      </c>
      <c r="T245" s="215" t="s">
        <v>4941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  <c r="AH245" s="20"/>
      <c r="AI245" s="20"/>
      <c r="AJ245" s="117"/>
      <c r="AK245" s="20"/>
      <c r="AL245" s="20"/>
      <c r="AM245" s="20"/>
      <c r="AN245" s="20"/>
    </row>
    <row r="246" spans="17:43">
      <c r="Q246" s="99" t="s">
        <v>4901</v>
      </c>
      <c r="R246" s="95">
        <v>-2194100</v>
      </c>
      <c r="T246" s="215" t="s">
        <v>4954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4955</v>
      </c>
      <c r="R247" s="95">
        <v>20193916</v>
      </c>
      <c r="T247" s="215" t="s">
        <v>4955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  <c r="AH247" s="20"/>
      <c r="AI247" s="20"/>
      <c r="AJ247" s="117"/>
      <c r="AK247" s="20"/>
      <c r="AL247" s="20">
        <f t="shared" si="52"/>
        <v>0</v>
      </c>
      <c r="AM247" s="20">
        <f t="shared" si="53"/>
        <v>0</v>
      </c>
      <c r="AN247" s="20"/>
    </row>
    <row r="248" spans="17:43">
      <c r="Q248" s="99" t="s">
        <v>5044</v>
      </c>
      <c r="R248" s="95">
        <v>-2000000</v>
      </c>
      <c r="T248" s="215" t="s">
        <v>4955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  <c r="AH248" s="99"/>
      <c r="AI248" s="99"/>
      <c r="AJ248" s="117"/>
      <c r="AK248" s="99"/>
      <c r="AL248" s="99">
        <f t="shared" si="52"/>
        <v>0</v>
      </c>
      <c r="AM248" s="20">
        <f t="shared" si="53"/>
        <v>0</v>
      </c>
      <c r="AN248" s="99"/>
    </row>
    <row r="249" spans="17:43">
      <c r="Q249" s="99"/>
      <c r="R249" s="95"/>
      <c r="T249" s="215" t="s">
        <v>4955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  <c r="AH249" s="99"/>
      <c r="AI249" s="99"/>
      <c r="AJ249" s="117"/>
      <c r="AK249" s="99"/>
      <c r="AL249" s="99">
        <f t="shared" si="52"/>
        <v>0</v>
      </c>
      <c r="AM249" s="99">
        <f t="shared" si="53"/>
        <v>0</v>
      </c>
      <c r="AN249" s="99"/>
      <c r="AP249" t="s">
        <v>25</v>
      </c>
    </row>
    <row r="250" spans="17:43">
      <c r="Q250" s="99"/>
      <c r="R250" s="95">
        <f>SUM(R226:R249)</f>
        <v>424236275</v>
      </c>
      <c r="T250" s="215" t="s">
        <v>4976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/>
      <c r="R251" s="99" t="s">
        <v>6</v>
      </c>
      <c r="T251" s="215" t="s">
        <v>5015</v>
      </c>
      <c r="U251" s="215">
        <v>15943</v>
      </c>
      <c r="V251" s="113">
        <v>307.34415000000001</v>
      </c>
      <c r="W251" s="113">
        <f t="shared" si="45"/>
        <v>4899987.78345</v>
      </c>
      <c r="X251" s="99" t="s">
        <v>452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T252" s="215" t="s">
        <v>5038</v>
      </c>
      <c r="U252" s="215">
        <v>3741</v>
      </c>
      <c r="V252" s="113">
        <v>307.34415000000001</v>
      </c>
      <c r="W252" s="113">
        <f t="shared" si="45"/>
        <v>1149774.4651500001</v>
      </c>
      <c r="X252" s="99" t="s">
        <v>452</v>
      </c>
    </row>
    <row r="253" spans="17:43">
      <c r="S253" t="s">
        <v>25</v>
      </c>
      <c r="T253" s="215" t="s">
        <v>5044</v>
      </c>
      <c r="U253" s="215">
        <v>-6207</v>
      </c>
      <c r="V253" s="113">
        <v>322.214</v>
      </c>
      <c r="W253" s="113">
        <f t="shared" si="45"/>
        <v>-1999982.298</v>
      </c>
      <c r="X253" s="99" t="s">
        <v>751</v>
      </c>
      <c r="AI253" t="s">
        <v>4061</v>
      </c>
      <c r="AJ253" s="114">
        <f>AJ250+AN250</f>
        <v>370266762.84558266</v>
      </c>
    </row>
    <row r="254" spans="17:43">
      <c r="Q254" s="99" t="s">
        <v>452</v>
      </c>
      <c r="R254" s="99"/>
      <c r="T254" s="215" t="s">
        <v>5044</v>
      </c>
      <c r="U254" s="215">
        <v>6207</v>
      </c>
      <c r="V254" s="113">
        <v>322.214</v>
      </c>
      <c r="W254" s="113">
        <f t="shared" si="45"/>
        <v>1999982.298</v>
      </c>
      <c r="X254" s="99" t="s">
        <v>4451</v>
      </c>
      <c r="AI254" t="s">
        <v>4064</v>
      </c>
      <c r="AJ254" s="114">
        <f>SUM(N20:N33)</f>
        <v>423922723</v>
      </c>
    </row>
    <row r="255" spans="17:43">
      <c r="Q255" s="99" t="s">
        <v>4444</v>
      </c>
      <c r="R255" s="95">
        <v>63115000</v>
      </c>
      <c r="T255" s="215" t="s">
        <v>4987</v>
      </c>
      <c r="U255" s="215">
        <v>776</v>
      </c>
      <c r="V255" s="113">
        <v>322.214</v>
      </c>
      <c r="W255" s="113">
        <f t="shared" si="45"/>
        <v>250038.06400000001</v>
      </c>
      <c r="X255" s="99" t="s">
        <v>452</v>
      </c>
      <c r="AI255" t="s">
        <v>4136</v>
      </c>
      <c r="AJ255" s="114">
        <f>AJ254-AJ250</f>
        <v>68103125</v>
      </c>
    </row>
    <row r="256" spans="17:43">
      <c r="Q256" s="99" t="s">
        <v>4498</v>
      </c>
      <c r="R256" s="95">
        <v>13300000</v>
      </c>
      <c r="T256" s="168"/>
      <c r="U256" s="168"/>
      <c r="V256" s="113"/>
      <c r="W256" s="113"/>
      <c r="X256" s="99"/>
      <c r="AI256" t="s">
        <v>943</v>
      </c>
      <c r="AJ256" s="114">
        <f>AN250</f>
        <v>14447164.845582679</v>
      </c>
    </row>
    <row r="257" spans="17:40">
      <c r="Q257" s="99" t="s">
        <v>4506</v>
      </c>
      <c r="R257" s="95">
        <v>2269000</v>
      </c>
      <c r="T257" s="168"/>
      <c r="U257" s="168">
        <f>SUM(U189:U256)</f>
        <v>3557670</v>
      </c>
      <c r="V257" s="99"/>
      <c r="W257" s="99"/>
      <c r="X257" s="99"/>
      <c r="AI257" t="s">
        <v>4065</v>
      </c>
      <c r="AJ257" s="114">
        <f>AJ255-AJ256</f>
        <v>53655960.154417321</v>
      </c>
      <c r="AN257" t="s">
        <v>25</v>
      </c>
    </row>
    <row r="258" spans="17:40">
      <c r="Q258" s="99" t="s">
        <v>4624</v>
      </c>
      <c r="R258" s="95">
        <v>25071612</v>
      </c>
      <c r="T258" s="99"/>
      <c r="U258" s="99" t="s">
        <v>6</v>
      </c>
      <c r="V258" s="99"/>
      <c r="W258" s="99"/>
      <c r="X258" s="99"/>
      <c r="AN258" t="s">
        <v>25</v>
      </c>
    </row>
    <row r="259" spans="17:40">
      <c r="Q259" s="99" t="s">
        <v>4634</v>
      </c>
      <c r="R259" s="95">
        <v>42236984</v>
      </c>
      <c r="T259" s="201" t="s">
        <v>4488</v>
      </c>
    </row>
    <row r="260" spans="17:40">
      <c r="Q260" s="99" t="s">
        <v>4637</v>
      </c>
      <c r="R260" s="95">
        <v>19663646</v>
      </c>
      <c r="T260" s="200">
        <f>R199/U257</f>
        <v>324.78122065846475</v>
      </c>
    </row>
    <row r="261" spans="17:40">
      <c r="Q261" s="99" t="s">
        <v>4664</v>
      </c>
      <c r="R261" s="95">
        <v>4374525</v>
      </c>
      <c r="W261" s="114"/>
      <c r="Y261" t="s">
        <v>25</v>
      </c>
      <c r="AN261" t="s">
        <v>25</v>
      </c>
    </row>
    <row r="262" spans="17:40">
      <c r="Q262" s="99" t="s">
        <v>4679</v>
      </c>
      <c r="R262" s="95">
        <v>6550580</v>
      </c>
      <c r="U262" s="96" t="s">
        <v>267</v>
      </c>
      <c r="V262" t="s">
        <v>4489</v>
      </c>
      <c r="X262" t="s">
        <v>25</v>
      </c>
    </row>
    <row r="263" spans="17:40">
      <c r="Q263" s="99" t="s">
        <v>4682</v>
      </c>
      <c r="R263" s="95">
        <v>7054895</v>
      </c>
      <c r="T263" s="114"/>
      <c r="U263" s="113">
        <v>250000</v>
      </c>
      <c r="V263">
        <f>U263/T260</f>
        <v>769.74893897235643</v>
      </c>
      <c r="X263" t="s">
        <v>25</v>
      </c>
    </row>
    <row r="264" spans="17:40">
      <c r="Q264" s="99" t="s">
        <v>4716</v>
      </c>
      <c r="R264" s="95">
        <v>2145814</v>
      </c>
      <c r="X264" t="s">
        <v>25</v>
      </c>
    </row>
    <row r="265" spans="17:40">
      <c r="Q265" s="99" t="s">
        <v>4731</v>
      </c>
      <c r="R265" s="95">
        <v>4369730</v>
      </c>
      <c r="W265" s="225"/>
      <c r="X265" s="96" t="s">
        <v>25</v>
      </c>
    </row>
    <row r="266" spans="17:40">
      <c r="Q266" s="99" t="s">
        <v>4735</v>
      </c>
      <c r="R266" s="95">
        <v>8739459</v>
      </c>
    </row>
    <row r="267" spans="17:40">
      <c r="Q267" s="99" t="s">
        <v>4746</v>
      </c>
      <c r="R267" s="95">
        <v>6667654</v>
      </c>
    </row>
    <row r="268" spans="17:40" ht="60">
      <c r="Q268" s="99" t="s">
        <v>3684</v>
      </c>
      <c r="R268" s="95">
        <v>8981245</v>
      </c>
      <c r="T268" s="22" t="s">
        <v>4472</v>
      </c>
      <c r="V268" s="225"/>
    </row>
    <row r="269" spans="17:40" ht="45">
      <c r="Q269" s="99" t="s">
        <v>4759</v>
      </c>
      <c r="R269" s="95">
        <v>9181756</v>
      </c>
      <c r="T269" s="22" t="s">
        <v>4473</v>
      </c>
    </row>
    <row r="270" spans="17:40">
      <c r="Q270" s="99" t="s">
        <v>4768</v>
      </c>
      <c r="R270" s="95">
        <v>11811208</v>
      </c>
    </row>
    <row r="271" spans="17:40">
      <c r="Q271" s="99" t="s">
        <v>4786</v>
      </c>
      <c r="R271" s="95">
        <v>41248054</v>
      </c>
    </row>
    <row r="272" spans="17:40">
      <c r="Q272" s="99" t="s">
        <v>4796</v>
      </c>
      <c r="R272" s="95">
        <v>37328780</v>
      </c>
      <c r="T272" s="99" t="s">
        <v>4490</v>
      </c>
      <c r="U272" s="99" t="s">
        <v>4461</v>
      </c>
      <c r="V272" s="99" t="s">
        <v>953</v>
      </c>
    </row>
    <row r="273" spans="17:22">
      <c r="Q273" s="99" t="s">
        <v>4805</v>
      </c>
      <c r="R273" s="95">
        <v>50000000</v>
      </c>
      <c r="T273" s="95">
        <f>R219+R250+R289</f>
        <v>889399220</v>
      </c>
      <c r="U273" s="95">
        <f>R199</f>
        <v>1155464405.3000002</v>
      </c>
      <c r="V273" s="95">
        <f>U273-T273</f>
        <v>266065185.30000019</v>
      </c>
    </row>
    <row r="274" spans="17:22">
      <c r="Q274" s="99" t="s">
        <v>4879</v>
      </c>
      <c r="R274" s="95">
        <v>68656</v>
      </c>
    </row>
    <row r="275" spans="17:22">
      <c r="Q275" s="99" t="s">
        <v>4893</v>
      </c>
      <c r="R275" s="95">
        <v>4000236</v>
      </c>
    </row>
    <row r="276" spans="17:22">
      <c r="Q276" s="99" t="s">
        <v>4893</v>
      </c>
      <c r="R276" s="95">
        <v>2250000</v>
      </c>
    </row>
    <row r="277" spans="17:22">
      <c r="Q277" s="99" t="s">
        <v>4901</v>
      </c>
      <c r="R277" s="95">
        <v>-2512200</v>
      </c>
    </row>
    <row r="278" spans="17:22">
      <c r="Q278" s="99" t="s">
        <v>4912</v>
      </c>
      <c r="R278" s="95">
        <v>300000</v>
      </c>
      <c r="T278" t="s">
        <v>25</v>
      </c>
    </row>
    <row r="279" spans="17:22">
      <c r="Q279" s="99" t="s">
        <v>981</v>
      </c>
      <c r="R279" s="95">
        <v>1100000</v>
      </c>
      <c r="T279" t="s">
        <v>25</v>
      </c>
    </row>
    <row r="280" spans="17:22">
      <c r="Q280" s="99" t="s">
        <v>4926</v>
      </c>
      <c r="R280" s="95">
        <v>890000</v>
      </c>
    </row>
    <row r="281" spans="17:22">
      <c r="Q281" s="99" t="s">
        <v>4954</v>
      </c>
      <c r="R281" s="95">
        <v>1000000</v>
      </c>
      <c r="T281" t="s">
        <v>25</v>
      </c>
    </row>
    <row r="282" spans="17:22">
      <c r="Q282" s="99" t="s">
        <v>4955</v>
      </c>
      <c r="R282" s="95">
        <v>45436311</v>
      </c>
      <c r="T282" t="s">
        <v>25</v>
      </c>
    </row>
    <row r="283" spans="17:22">
      <c r="Q283" s="99" t="s">
        <v>4955</v>
      </c>
      <c r="R283" s="95">
        <v>-3500000</v>
      </c>
    </row>
    <row r="284" spans="17:22">
      <c r="Q284" s="99" t="s">
        <v>4976</v>
      </c>
      <c r="R284" s="95">
        <v>2520000</v>
      </c>
    </row>
    <row r="285" spans="17:22">
      <c r="Q285" s="99" t="s">
        <v>5015</v>
      </c>
      <c r="R285" s="95">
        <v>4900000</v>
      </c>
      <c r="T285" t="s">
        <v>25</v>
      </c>
    </row>
    <row r="286" spans="17:22">
      <c r="Q286" s="99" t="s">
        <v>5038</v>
      </c>
      <c r="R286" s="95">
        <v>1150000</v>
      </c>
      <c r="T286" t="s">
        <v>25</v>
      </c>
    </row>
    <row r="287" spans="17:22">
      <c r="Q287" s="99" t="s">
        <v>4987</v>
      </c>
      <c r="R287" s="95">
        <v>250000</v>
      </c>
    </row>
    <row r="288" spans="17:22">
      <c r="Q288" s="99"/>
      <c r="R288" s="95"/>
      <c r="T288" t="s">
        <v>25</v>
      </c>
    </row>
    <row r="289" spans="16:20">
      <c r="Q289" s="99"/>
      <c r="R289" s="95">
        <f>SUM(R255:R288)</f>
        <v>421962945</v>
      </c>
      <c r="T289" t="s">
        <v>25</v>
      </c>
    </row>
    <row r="290" spans="16:20">
      <c r="Q290" s="99"/>
      <c r="R290" s="99" t="s">
        <v>6</v>
      </c>
    </row>
    <row r="293" spans="16:20">
      <c r="T293" t="s">
        <v>25</v>
      </c>
    </row>
    <row r="294" spans="16:20">
      <c r="T294" t="s">
        <v>25</v>
      </c>
    </row>
    <row r="303" spans="16:20">
      <c r="P303" t="s">
        <v>25</v>
      </c>
    </row>
  </sheetData>
  <conditionalFormatting sqref="G3:G6">
    <cfRule type="cellIs" dxfId="12" priority="14" operator="greaterThan">
      <formula>0</formula>
    </cfRule>
  </conditionalFormatting>
  <conditionalFormatting sqref="G2:G62">
    <cfRule type="cellIs" dxfId="11" priority="13" operator="greaterThan">
      <formula>0</formula>
    </cfRule>
  </conditionalFormatting>
  <conditionalFormatting sqref="G67:G81 G1:G65 I122:I129 G120:G121 G140:G1048576 G130:G131 G133 G96:G112">
    <cfRule type="cellIs" dxfId="10" priority="12" operator="lessThan">
      <formula>0</formula>
    </cfRule>
  </conditionalFormatting>
  <conditionalFormatting sqref="G113">
    <cfRule type="cellIs" dxfId="9" priority="11" operator="lessThan">
      <formula>0</formula>
    </cfRule>
  </conditionalFormatting>
  <conditionalFormatting sqref="G115">
    <cfRule type="cellIs" dxfId="8" priority="3" operator="lessThan">
      <formula>0</formula>
    </cfRule>
  </conditionalFormatting>
  <conditionalFormatting sqref="G116 G118">
    <cfRule type="cellIs" dxfId="7" priority="4" operator="lessThan">
      <formula>0</formula>
    </cfRule>
  </conditionalFormatting>
  <conditionalFormatting sqref="G119">
    <cfRule type="cellIs" dxfId="6" priority="1" operator="lessThan">
      <formula>0</formula>
    </cfRule>
  </conditionalFormatting>
  <conditionalFormatting sqref="G114">
    <cfRule type="cellIs" dxfId="5" priority="5" operator="lessThan">
      <formula>0</formula>
    </cfRule>
  </conditionalFormatting>
  <conditionalFormatting sqref="G11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11 S117:S118 S119:S121 S124 S126 S138 S37:S38 S148 P22 S151 S133 S108 S43 S46 S48 G136 S159:S160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H11" zoomScale="90" zoomScaleNormal="90" workbookViewId="0">
      <selection activeCell="P11" sqref="P11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4644</v>
      </c>
      <c r="AE1" s="168" t="s">
        <v>4645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4634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4634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4637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4954</v>
      </c>
      <c r="F12" s="114">
        <v>0</v>
      </c>
      <c r="J12" s="168">
        <v>11</v>
      </c>
      <c r="K12" s="168" t="s">
        <v>4664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4637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4653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4679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4653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4679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4669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4682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4682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4682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4682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4716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4716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4703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4731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4710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4731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4716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4732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4719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4725</v>
      </c>
      <c r="C23" s="99" t="s">
        <v>4726</v>
      </c>
      <c r="D23" s="99" t="s">
        <v>4727</v>
      </c>
      <c r="E23" s="69" t="s">
        <v>4728</v>
      </c>
      <c r="J23" s="215">
        <v>22</v>
      </c>
      <c r="K23" s="215" t="s">
        <v>4732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4719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4669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4732</v>
      </c>
      <c r="L24" s="222">
        <v>4388600</v>
      </c>
      <c r="M24" s="221">
        <v>5</v>
      </c>
      <c r="N24" s="222">
        <f t="shared" si="7"/>
        <v>21943000</v>
      </c>
      <c r="O24" s="223" t="s">
        <v>4747</v>
      </c>
      <c r="W24" s="215" t="s">
        <v>4732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4679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4735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4735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4682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4735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4746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4703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4746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4716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4746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4759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4719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4759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4723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4759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4729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4759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4759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4731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4759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4768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4770</v>
      </c>
    </row>
    <row r="33" spans="1:32">
      <c r="A33" s="99" t="s">
        <v>4732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4784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4768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4735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4784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4768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4746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4786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4786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4786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4786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4759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4954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4786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4768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4954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4796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4777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4796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4784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4796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4786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4816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4796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4832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4805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4837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4816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4847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4849</v>
      </c>
    </row>
    <row r="45" spans="1:32">
      <c r="A45" s="99" t="s">
        <v>4827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4847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4832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4873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4836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5065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4837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5065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4847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5065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4851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5065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5065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5070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4873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/>
      <c r="X52" s="215"/>
      <c r="Y52" s="113"/>
      <c r="Z52" s="215"/>
      <c r="AA52" s="215"/>
      <c r="AB52" s="215"/>
      <c r="AC52" s="215"/>
      <c r="AD52" s="215" t="e">
        <f t="shared" si="12"/>
        <v>#DIV/0!</v>
      </c>
      <c r="AE52" s="215" t="e">
        <f t="shared" si="13"/>
        <v>#DIV/0!</v>
      </c>
      <c r="AF52" s="99"/>
    </row>
    <row r="53" spans="1:32">
      <c r="A53" s="99" t="s">
        <v>4876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/>
      <c r="X53" s="215"/>
      <c r="Y53" s="113"/>
      <c r="Z53" s="215"/>
      <c r="AA53" s="215"/>
      <c r="AB53" s="215"/>
      <c r="AC53" s="215"/>
      <c r="AD53" s="215" t="e">
        <f t="shared" si="12"/>
        <v>#DIV/0!</v>
      </c>
      <c r="AE53" s="215" t="e">
        <f t="shared" si="13"/>
        <v>#DIV/0!</v>
      </c>
      <c r="AF53" s="99"/>
    </row>
    <row r="54" spans="1:32">
      <c r="A54" s="99" t="s">
        <v>4879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/>
      <c r="X54" s="215"/>
      <c r="Y54" s="113"/>
      <c r="Z54" s="215"/>
      <c r="AA54" s="215"/>
      <c r="AB54" s="215"/>
      <c r="AC54" s="215"/>
      <c r="AD54" s="215" t="e">
        <f t="shared" si="12"/>
        <v>#DIV/0!</v>
      </c>
      <c r="AE54" s="215" t="e">
        <f t="shared" si="13"/>
        <v>#DIV/0!</v>
      </c>
      <c r="AF54" s="99"/>
    </row>
    <row r="55" spans="1:32">
      <c r="A55" s="99" t="s">
        <v>4886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/>
      <c r="X55" s="215"/>
      <c r="Y55" s="113"/>
      <c r="Z55" s="215"/>
      <c r="AA55" s="215"/>
      <c r="AB55" s="215"/>
      <c r="AC55" s="215"/>
      <c r="AD55" s="215" t="e">
        <f t="shared" si="12"/>
        <v>#DIV/0!</v>
      </c>
      <c r="AE55" s="215" t="e">
        <f t="shared" si="13"/>
        <v>#DIV/0!</v>
      </c>
      <c r="AF55" s="99"/>
    </row>
    <row r="56" spans="1:32">
      <c r="A56" s="99" t="s">
        <v>4893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4901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4912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4954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4955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4968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4991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4799</v>
      </c>
      <c r="K63" s="215" t="s">
        <v>180</v>
      </c>
      <c r="L63" s="228" t="s">
        <v>4797</v>
      </c>
      <c r="M63" s="228" t="s">
        <v>4798</v>
      </c>
      <c r="N63" s="215" t="s">
        <v>6</v>
      </c>
      <c r="O63" s="215" t="s">
        <v>4800</v>
      </c>
      <c r="P63" s="215" t="s">
        <v>4818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4732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4768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4777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4784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4786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4796</v>
      </c>
      <c r="L69" s="232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4815</v>
      </c>
      <c r="J70" s="35">
        <f t="shared" si="14"/>
        <v>45893629</v>
      </c>
      <c r="K70" s="5" t="s">
        <v>4805</v>
      </c>
      <c r="L70" s="239">
        <v>625824358</v>
      </c>
      <c r="M70" s="239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4816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4832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4836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4837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4847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4851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4658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4873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4659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4876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4662</v>
      </c>
      <c r="Y79" s="22" t="s">
        <v>4661</v>
      </c>
      <c r="Z79" s="22" t="s">
        <v>4660</v>
      </c>
      <c r="AA79" s="22" t="s">
        <v>4663</v>
      </c>
    </row>
    <row r="80" spans="1:32">
      <c r="G80" t="s">
        <v>25</v>
      </c>
      <c r="I80" s="5" t="s">
        <v>4900</v>
      </c>
      <c r="J80" s="35">
        <f t="shared" si="14"/>
        <v>-1984018</v>
      </c>
      <c r="K80" s="5" t="s">
        <v>4879</v>
      </c>
      <c r="L80" s="239">
        <v>641421493</v>
      </c>
      <c r="M80" s="239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4886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1" t="s">
        <v>4899</v>
      </c>
      <c r="J82" s="86">
        <f t="shared" si="14"/>
        <v>8860702</v>
      </c>
      <c r="K82" s="192" t="s">
        <v>4893</v>
      </c>
      <c r="L82" s="240">
        <v>656400072</v>
      </c>
      <c r="M82" s="240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1" t="s">
        <v>4910</v>
      </c>
      <c r="J83" s="86">
        <f>L83-L82+31412200</f>
        <v>20439704</v>
      </c>
      <c r="K83" s="192" t="s">
        <v>4901</v>
      </c>
      <c r="L83" s="240">
        <v>645427576</v>
      </c>
      <c r="M83" s="240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4911</v>
      </c>
      <c r="J84" s="189">
        <f t="shared" si="14"/>
        <v>21224293</v>
      </c>
      <c r="K84" s="190" t="s">
        <v>4912</v>
      </c>
      <c r="L84" s="242">
        <v>666651869</v>
      </c>
      <c r="M84" s="242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4925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3" t="s">
        <v>4938</v>
      </c>
      <c r="J87" s="197">
        <f>L87-L86-20000</f>
        <v>7878257</v>
      </c>
      <c r="K87" s="191" t="s">
        <v>4926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4940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4941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4980</v>
      </c>
      <c r="J90" s="197">
        <f>L90-L89-1000000</f>
        <v>3840350</v>
      </c>
      <c r="K90" s="191" t="s">
        <v>4954</v>
      </c>
      <c r="L90" s="244">
        <v>685475489</v>
      </c>
      <c r="M90" s="244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4955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4968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4972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4973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4979</v>
      </c>
      <c r="J95" s="197">
        <f>L95-L94-2520000</f>
        <v>-274657</v>
      </c>
      <c r="K95" s="191" t="s">
        <v>4976</v>
      </c>
      <c r="L95" s="244">
        <v>700696212</v>
      </c>
      <c r="M95" s="244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4981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4985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4988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4989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4991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4992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4995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4994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5041</v>
      </c>
      <c r="J104" s="197">
        <f>L104-L103-1400000</f>
        <v>-1688384</v>
      </c>
      <c r="K104" s="191" t="s">
        <v>5038</v>
      </c>
      <c r="L104" s="244">
        <v>716000000</v>
      </c>
      <c r="M104" s="244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5040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5043</v>
      </c>
      <c r="J106" s="189">
        <f>L106-L105-1550000</f>
        <v>16319322</v>
      </c>
      <c r="K106" s="190" t="s">
        <v>5042</v>
      </c>
      <c r="L106" s="242">
        <v>742398793</v>
      </c>
      <c r="M106" s="242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5044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5050</v>
      </c>
      <c r="J108" s="189">
        <f>L108-L107-250000</f>
        <v>9825827</v>
      </c>
      <c r="K108" s="190" t="s">
        <v>4987</v>
      </c>
      <c r="L108" s="242">
        <v>760060452</v>
      </c>
      <c r="M108" s="242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5051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1" t="s">
        <v>5061</v>
      </c>
      <c r="J110" s="252">
        <f>L110-L109+48527480</f>
        <v>-4646184</v>
      </c>
      <c r="K110" s="218" t="s">
        <v>5055</v>
      </c>
      <c r="L110" s="253">
        <v>711091713</v>
      </c>
      <c r="M110" s="253">
        <v>365802118</v>
      </c>
      <c r="N110" s="252">
        <f t="shared" si="24"/>
        <v>1076893831</v>
      </c>
      <c r="O110" s="252">
        <f>M110-M109+2668880-50000000</f>
        <v>-28379623</v>
      </c>
      <c r="P110" s="252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5064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5071</v>
      </c>
      <c r="J112" s="189">
        <f t="shared" si="19"/>
        <v>-11559770</v>
      </c>
      <c r="K112" s="190" t="s">
        <v>5065</v>
      </c>
      <c r="L112" s="242">
        <v>711658379</v>
      </c>
      <c r="M112" s="242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/>
      <c r="J113" s="113">
        <f t="shared" si="19"/>
        <v>-711658379</v>
      </c>
      <c r="K113" s="215"/>
      <c r="L113" s="84"/>
      <c r="M113" s="84"/>
      <c r="N113" s="113">
        <f t="shared" si="27"/>
        <v>0</v>
      </c>
      <c r="O113" s="113">
        <f t="shared" si="28"/>
        <v>-375825031</v>
      </c>
      <c r="P113" s="113">
        <f t="shared" si="29"/>
        <v>-1087483410</v>
      </c>
      <c r="S113" t="s">
        <v>25</v>
      </c>
    </row>
    <row r="114" spans="9:19">
      <c r="I114" s="215"/>
      <c r="J114" s="113">
        <f t="shared" si="19"/>
        <v>0</v>
      </c>
      <c r="K114" s="215"/>
      <c r="L114" s="84"/>
      <c r="M114" s="84"/>
      <c r="N114" s="113">
        <f t="shared" si="27"/>
        <v>0</v>
      </c>
      <c r="O114" s="113">
        <f t="shared" si="28"/>
        <v>0</v>
      </c>
      <c r="P114" s="113">
        <f t="shared" si="29"/>
        <v>0</v>
      </c>
    </row>
    <row r="115" spans="9:19">
      <c r="I115" s="215"/>
      <c r="J115" s="113">
        <f t="shared" si="19"/>
        <v>0</v>
      </c>
      <c r="K115" s="215"/>
      <c r="L115" s="84"/>
      <c r="M115" s="84"/>
      <c r="N115" s="113">
        <f t="shared" si="27"/>
        <v>0</v>
      </c>
      <c r="O115" s="113">
        <f t="shared" si="28"/>
        <v>0</v>
      </c>
      <c r="P115" s="113">
        <f t="shared" si="29"/>
        <v>0</v>
      </c>
    </row>
    <row r="116" spans="9:19">
      <c r="I116" s="215"/>
      <c r="J116" s="113">
        <f t="shared" si="19"/>
        <v>0</v>
      </c>
      <c r="K116" s="215"/>
      <c r="L116" s="84"/>
      <c r="M116" s="84"/>
      <c r="N116" s="113">
        <f t="shared" si="27"/>
        <v>0</v>
      </c>
      <c r="O116" s="113">
        <f t="shared" si="28"/>
        <v>0</v>
      </c>
      <c r="P116" s="113">
        <f t="shared" si="29"/>
        <v>0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4805</v>
      </c>
      <c r="B44" s="113">
        <v>-31000</v>
      </c>
      <c r="C44" s="99" t="s">
        <v>4817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4901</v>
      </c>
      <c r="B45" s="113">
        <v>2060725</v>
      </c>
      <c r="C45" s="99" t="s">
        <v>4906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4936</v>
      </c>
      <c r="B46" s="113">
        <v>-1073169</v>
      </c>
      <c r="C46" s="99" t="s">
        <v>4937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4926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4926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4941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4948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4949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4955</v>
      </c>
      <c r="B52" s="113">
        <v>-195330</v>
      </c>
      <c r="C52" s="99" t="s">
        <v>4962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4968</v>
      </c>
      <c r="B53" s="113">
        <v>-140730</v>
      </c>
      <c r="C53" s="99" t="s">
        <v>4974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4972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4972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4976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4862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4862</v>
      </c>
      <c r="I46" s="11">
        <v>248200</v>
      </c>
      <c r="J46" s="11" t="s">
        <v>4872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4653</v>
      </c>
      <c r="B5" s="18">
        <v>-200000</v>
      </c>
      <c r="C5" s="18">
        <v>0</v>
      </c>
      <c r="D5" s="113">
        <f t="shared" si="0"/>
        <v>-200000</v>
      </c>
      <c r="E5" s="20" t="s">
        <v>4650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4669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4669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4669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4669</v>
      </c>
      <c r="B10" s="18">
        <v>-51400</v>
      </c>
      <c r="C10" s="18">
        <v>0</v>
      </c>
      <c r="D10" s="113">
        <f t="shared" si="0"/>
        <v>-51400</v>
      </c>
      <c r="E10" s="19" t="s">
        <v>4676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4679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4679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4708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4729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4729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4740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4731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4732</v>
      </c>
      <c r="B22" s="18">
        <v>-324747</v>
      </c>
      <c r="C22" s="18">
        <v>0</v>
      </c>
      <c r="D22" s="113">
        <f t="shared" si="0"/>
        <v>-324747</v>
      </c>
      <c r="E22" s="19" t="s">
        <v>4741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4750</v>
      </c>
      <c r="B23" s="18">
        <v>-297992</v>
      </c>
      <c r="C23" s="18">
        <v>0</v>
      </c>
      <c r="D23" s="113">
        <f t="shared" si="0"/>
        <v>-297992</v>
      </c>
      <c r="E23" s="19" t="s">
        <v>4751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4759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4676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4706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4730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4737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4738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4739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4745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4773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4774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4768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4781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4805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4816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4816</v>
      </c>
      <c r="B6" s="18">
        <v>-1866154</v>
      </c>
      <c r="C6" s="18">
        <v>0</v>
      </c>
      <c r="D6" s="113">
        <f t="shared" si="0"/>
        <v>-1866154</v>
      </c>
      <c r="E6" s="19" t="s">
        <v>4825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4816</v>
      </c>
      <c r="B7" s="18">
        <v>-36600</v>
      </c>
      <c r="C7" s="18">
        <v>0</v>
      </c>
      <c r="D7" s="113">
        <f t="shared" si="0"/>
        <v>-36600</v>
      </c>
      <c r="E7" s="19" t="s">
        <v>4826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4827</v>
      </c>
      <c r="B8" s="18">
        <v>-492000</v>
      </c>
      <c r="C8" s="18">
        <v>0</v>
      </c>
      <c r="D8" s="113">
        <f t="shared" si="0"/>
        <v>-492000</v>
      </c>
      <c r="E8" s="19" t="s">
        <v>4828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4827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4827</v>
      </c>
      <c r="B10" s="18">
        <v>-40000</v>
      </c>
      <c r="C10" s="18">
        <v>0</v>
      </c>
      <c r="D10" s="113">
        <f t="shared" si="0"/>
        <v>-40000</v>
      </c>
      <c r="E10" s="19" t="s">
        <v>4830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4831</v>
      </c>
      <c r="B11" s="18">
        <v>-66000</v>
      </c>
      <c r="C11" s="18">
        <v>0</v>
      </c>
      <c r="D11" s="113">
        <f t="shared" si="0"/>
        <v>-66000</v>
      </c>
      <c r="E11" s="19" t="s">
        <v>4830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4832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4832</v>
      </c>
      <c r="B13" s="18">
        <v>-200500</v>
      </c>
      <c r="C13" s="18">
        <v>0</v>
      </c>
      <c r="D13" s="113">
        <f t="shared" si="0"/>
        <v>-200500</v>
      </c>
      <c r="E13" s="20" t="s">
        <v>4833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4837</v>
      </c>
      <c r="B14" s="18">
        <v>1563000</v>
      </c>
      <c r="C14" s="18">
        <v>0</v>
      </c>
      <c r="D14" s="113">
        <f t="shared" si="0"/>
        <v>1563000</v>
      </c>
      <c r="E14" s="20" t="s">
        <v>4842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4837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4851</v>
      </c>
      <c r="B16" s="18">
        <v>-20000</v>
      </c>
      <c r="C16" s="18">
        <v>0</v>
      </c>
      <c r="D16" s="113">
        <f t="shared" si="0"/>
        <v>-20000</v>
      </c>
      <c r="E16" s="20" t="s">
        <v>4855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4866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4870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4876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4886</v>
      </c>
      <c r="B20" s="18">
        <v>400000</v>
      </c>
      <c r="C20" s="18">
        <v>0</v>
      </c>
      <c r="D20" s="113">
        <f t="shared" si="0"/>
        <v>400000</v>
      </c>
      <c r="E20" s="19" t="s">
        <v>4888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4890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4890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4890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4892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4892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4893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4893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4901</v>
      </c>
      <c r="B28" s="18">
        <v>433375</v>
      </c>
      <c r="C28" s="18">
        <v>0</v>
      </c>
      <c r="D28" s="113">
        <f t="shared" si="0"/>
        <v>433375</v>
      </c>
      <c r="E28" s="19" t="s">
        <v>4906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4912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4912</v>
      </c>
      <c r="B30" s="18">
        <v>-300000</v>
      </c>
      <c r="C30" s="18">
        <v>0</v>
      </c>
      <c r="D30" s="113">
        <f t="shared" si="0"/>
        <v>-300000</v>
      </c>
      <c r="E30" s="19" t="s">
        <v>4915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4912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4923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4779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4793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4794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4804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4814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4819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4824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4825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4829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4834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4835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4838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4843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4846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4850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4853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4854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4856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4857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4869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4877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4880</v>
      </c>
      <c r="F69" s="96"/>
      <c r="G69" s="96"/>
      <c r="H69" s="96"/>
      <c r="I69" s="96"/>
    </row>
    <row r="70" spans="1:22">
      <c r="D70" s="18">
        <v>-400000</v>
      </c>
      <c r="E70" s="122" t="s">
        <v>4889</v>
      </c>
      <c r="G70" t="s">
        <v>25</v>
      </c>
    </row>
    <row r="71" spans="1:22">
      <c r="D71" s="18">
        <v>463200</v>
      </c>
      <c r="E71" s="122" t="s">
        <v>4891</v>
      </c>
    </row>
    <row r="72" spans="1:22">
      <c r="D72" s="18">
        <v>2000000</v>
      </c>
      <c r="E72" s="96" t="s">
        <v>4894</v>
      </c>
    </row>
    <row r="73" spans="1:22">
      <c r="D73" s="18">
        <v>-280000</v>
      </c>
      <c r="E73" t="s">
        <v>4898</v>
      </c>
    </row>
    <row r="74" spans="1:22">
      <c r="D74" s="18">
        <v>-200000</v>
      </c>
      <c r="E74" s="96" t="s">
        <v>4907</v>
      </c>
    </row>
    <row r="75" spans="1:22">
      <c r="D75" s="18">
        <v>-2000000</v>
      </c>
      <c r="E75" s="96" t="s">
        <v>4913</v>
      </c>
    </row>
    <row r="76" spans="1:22">
      <c r="D76" s="18">
        <v>92800</v>
      </c>
      <c r="E76" s="96" t="s">
        <v>4919</v>
      </c>
    </row>
    <row r="77" spans="1:22">
      <c r="D77" s="18">
        <v>1417727</v>
      </c>
      <c r="E77" s="96" t="s">
        <v>4923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4" t="s">
        <v>1089</v>
      </c>
      <c r="R21" s="254"/>
      <c r="S21" s="254"/>
      <c r="T21" s="254"/>
      <c r="U21" s="96"/>
      <c r="V21" s="96"/>
      <c r="W21" s="96"/>
      <c r="X21" s="96"/>
      <c r="Y21" s="96"/>
      <c r="Z21" s="96"/>
    </row>
    <row r="22" spans="5:35">
      <c r="O22" s="99"/>
      <c r="P22" s="99"/>
      <c r="Q22" s="254"/>
      <c r="R22" s="254"/>
      <c r="S22" s="254"/>
      <c r="T22" s="25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5" t="s">
        <v>1090</v>
      </c>
      <c r="R23" s="256" t="s">
        <v>1091</v>
      </c>
      <c r="S23" s="255" t="s">
        <v>1092</v>
      </c>
      <c r="T23" s="257" t="s">
        <v>1093</v>
      </c>
      <c r="AD23" t="s">
        <v>25</v>
      </c>
    </row>
    <row r="24" spans="5:35">
      <c r="O24" s="99"/>
      <c r="P24" s="99"/>
      <c r="Q24" s="255"/>
      <c r="R24" s="256"/>
      <c r="S24" s="255"/>
      <c r="T24" s="25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4827</v>
      </c>
      <c r="B5" t="s">
        <v>4844</v>
      </c>
    </row>
    <row r="6" spans="1:3">
      <c r="A6" t="s">
        <v>4837</v>
      </c>
      <c r="B6" t="s">
        <v>4845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4755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4746</v>
      </c>
      <c r="B2" s="95">
        <v>10300</v>
      </c>
      <c r="C2" s="95">
        <v>0</v>
      </c>
      <c r="D2" s="99" t="s">
        <v>4756</v>
      </c>
      <c r="E2" s="96"/>
      <c r="F2" s="96"/>
      <c r="G2" s="96"/>
    </row>
    <row r="3" spans="1:7">
      <c r="A3" s="99" t="s">
        <v>4746</v>
      </c>
      <c r="B3" s="95">
        <v>0</v>
      </c>
      <c r="C3" s="95">
        <v>5500</v>
      </c>
      <c r="D3" s="99" t="s">
        <v>4757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4768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4784</v>
      </c>
      <c r="B6" s="95">
        <v>0</v>
      </c>
      <c r="C6" s="95">
        <v>3000</v>
      </c>
      <c r="D6" s="99" t="s">
        <v>4788</v>
      </c>
      <c r="E6" s="96"/>
      <c r="F6" s="96"/>
      <c r="G6" s="96"/>
    </row>
    <row r="7" spans="1:7">
      <c r="A7" s="99" t="s">
        <v>4784</v>
      </c>
      <c r="B7" s="95">
        <v>9200</v>
      </c>
      <c r="C7" s="95">
        <v>0</v>
      </c>
      <c r="D7" s="99" t="s">
        <v>4756</v>
      </c>
      <c r="E7" s="96"/>
      <c r="F7" s="96"/>
      <c r="G7" s="96"/>
    </row>
    <row r="8" spans="1:7">
      <c r="A8" s="99" t="s">
        <v>4786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4796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4796</v>
      </c>
      <c r="B10" s="95">
        <v>10200</v>
      </c>
      <c r="C10" s="95">
        <v>0</v>
      </c>
      <c r="D10" s="99" t="s">
        <v>4756</v>
      </c>
      <c r="E10" s="96"/>
      <c r="F10" s="96"/>
      <c r="G10" s="96"/>
    </row>
    <row r="11" spans="1:7">
      <c r="A11" s="99" t="s">
        <v>4816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4836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4837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4868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4851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4756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4873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4876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4879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4886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4886</v>
      </c>
      <c r="B22" s="95">
        <v>9600</v>
      </c>
      <c r="C22" s="95">
        <v>0</v>
      </c>
      <c r="D22" s="99" t="s">
        <v>4756</v>
      </c>
      <c r="E22" s="96"/>
      <c r="F22" s="96"/>
      <c r="G22" s="96"/>
      <c r="I22" t="s">
        <v>25</v>
      </c>
    </row>
    <row r="23" spans="1:9">
      <c r="A23" s="99" t="s">
        <v>4893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4901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4912</v>
      </c>
      <c r="B25" s="95">
        <v>0</v>
      </c>
      <c r="C25" s="95">
        <v>1000</v>
      </c>
      <c r="D25" s="99" t="s">
        <v>315</v>
      </c>
    </row>
    <row r="26" spans="1:9">
      <c r="A26" s="99" t="s">
        <v>4954</v>
      </c>
      <c r="B26" s="95">
        <v>0</v>
      </c>
      <c r="C26" s="95">
        <v>12000</v>
      </c>
      <c r="D26" s="99" t="s">
        <v>4967</v>
      </c>
    </row>
    <row r="27" spans="1:9">
      <c r="A27" s="99" t="s">
        <v>4955</v>
      </c>
      <c r="B27" s="95">
        <v>0</v>
      </c>
      <c r="C27" s="95">
        <v>1000</v>
      </c>
      <c r="D27" s="99" t="s">
        <v>315</v>
      </c>
    </row>
    <row r="28" spans="1:9">
      <c r="A28" s="99" t="s">
        <v>4968</v>
      </c>
      <c r="B28" s="95">
        <v>0</v>
      </c>
      <c r="C28" s="95">
        <v>1000</v>
      </c>
      <c r="D28" s="99" t="s">
        <v>315</v>
      </c>
    </row>
    <row r="29" spans="1:9">
      <c r="A29" s="99" t="s">
        <v>4972</v>
      </c>
      <c r="B29" s="95">
        <v>0</v>
      </c>
      <c r="C29" s="95">
        <v>1000</v>
      </c>
      <c r="D29" s="99" t="s">
        <v>315</v>
      </c>
    </row>
    <row r="30" spans="1:9">
      <c r="A30" s="99" t="s">
        <v>4973</v>
      </c>
      <c r="B30" s="95">
        <v>0</v>
      </c>
      <c r="C30" s="95">
        <v>5500</v>
      </c>
      <c r="D30" s="99" t="s">
        <v>4757</v>
      </c>
    </row>
    <row r="31" spans="1:9">
      <c r="A31" s="99" t="s">
        <v>4973</v>
      </c>
      <c r="B31" s="95">
        <v>11000</v>
      </c>
      <c r="C31" s="95">
        <v>0</v>
      </c>
      <c r="D31" s="99" t="s">
        <v>4756</v>
      </c>
    </row>
    <row r="32" spans="1:9">
      <c r="A32" s="99" t="s">
        <v>4981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4985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4988</v>
      </c>
      <c r="B34" s="95">
        <v>0</v>
      </c>
      <c r="C34" s="95">
        <v>1000</v>
      </c>
      <c r="D34" s="99" t="s">
        <v>315</v>
      </c>
    </row>
    <row r="35" spans="1:10">
      <c r="A35" s="99" t="s">
        <v>4989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4994</v>
      </c>
      <c r="B36" s="95">
        <v>1000</v>
      </c>
      <c r="C36" s="95">
        <v>0</v>
      </c>
      <c r="D36" s="99" t="s">
        <v>315</v>
      </c>
    </row>
    <row r="37" spans="1:10">
      <c r="A37" s="99" t="s">
        <v>4994</v>
      </c>
      <c r="B37" s="95">
        <v>0</v>
      </c>
      <c r="C37" s="95">
        <v>11200</v>
      </c>
      <c r="D37" s="99" t="s">
        <v>4756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4786</v>
      </c>
      <c r="B48" s="226">
        <v>6700</v>
      </c>
      <c r="C48" s="226">
        <v>0</v>
      </c>
      <c r="D48" s="23" t="s">
        <v>4789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2019-05-11T13:12:33Z</dcterms:modified>
</cp:coreProperties>
</file>