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6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R212" i="18" l="1"/>
  <c r="P172" i="18"/>
  <c r="U250" i="18"/>
  <c r="W248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F312" i="15" s="1"/>
  <c r="D313" i="15"/>
  <c r="E313" i="15"/>
  <c r="F313" i="15"/>
  <c r="E281" i="15"/>
  <c r="E282" i="15"/>
  <c r="E283" i="15"/>
  <c r="E284" i="15"/>
  <c r="E285" i="15"/>
  <c r="E286" i="15"/>
  <c r="E287" i="15"/>
  <c r="E288" i="15"/>
  <c r="F311" i="15" l="1"/>
  <c r="D310" i="15"/>
  <c r="K106" i="18"/>
  <c r="D309" i="15" l="1"/>
  <c r="F310" i="15"/>
  <c r="O19" i="18"/>
  <c r="D308" i="15" l="1"/>
  <c r="F309" i="15"/>
  <c r="G117" i="18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D304" i="15" l="1"/>
  <c r="F305" i="15"/>
  <c r="W247" i="18"/>
  <c r="J108" i="52"/>
  <c r="D303" i="15" l="1"/>
  <c r="F304" i="15"/>
  <c r="W246" i="18"/>
  <c r="W245" i="18"/>
  <c r="F303" i="15" l="1"/>
  <c r="D302" i="15"/>
  <c r="O106" i="52"/>
  <c r="J106" i="52"/>
  <c r="D301" i="15" l="1"/>
  <c r="F302" i="15"/>
  <c r="J104" i="52"/>
  <c r="G126" i="18"/>
  <c r="E276" i="15"/>
  <c r="E277" i="15"/>
  <c r="E278" i="15"/>
  <c r="E279" i="15"/>
  <c r="E280" i="15"/>
  <c r="D300" i="15" l="1"/>
  <c r="F301" i="15"/>
  <c r="AL249" i="18"/>
  <c r="AM249" i="18" s="1"/>
  <c r="W244" i="18"/>
  <c r="D299" i="15" l="1"/>
  <c r="F300" i="15"/>
  <c r="AL248" i="18"/>
  <c r="D8" i="60"/>
  <c r="C7" i="60"/>
  <c r="J3" i="60"/>
  <c r="F8" i="60" s="1"/>
  <c r="D3" i="60"/>
  <c r="D4" i="60"/>
  <c r="D5" i="60"/>
  <c r="D6" i="60"/>
  <c r="D2" i="60"/>
  <c r="F299" i="15" l="1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43" i="18"/>
  <c r="D297" i="15" l="1"/>
  <c r="F298" i="15"/>
  <c r="D21" i="60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D296" i="15" l="1"/>
  <c r="F297" i="15"/>
  <c r="AL236" i="18"/>
  <c r="AM237" i="18"/>
  <c r="D295" i="15" l="1"/>
  <c r="F296" i="15"/>
  <c r="AM236" i="18"/>
  <c r="AL235" i="18"/>
  <c r="D68" i="52"/>
  <c r="F295" i="15" l="1"/>
  <c r="D294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D293" i="15" l="1"/>
  <c r="F294" i="15"/>
  <c r="P111" i="52"/>
  <c r="P110" i="52"/>
  <c r="P106" i="52"/>
  <c r="P104" i="52"/>
  <c r="P107" i="52"/>
  <c r="P105" i="52"/>
  <c r="AM234" i="18"/>
  <c r="AL233" i="18"/>
  <c r="P99" i="52"/>
  <c r="P109" i="52"/>
  <c r="P103" i="52"/>
  <c r="P102" i="52"/>
  <c r="P101" i="52"/>
  <c r="P100" i="52"/>
  <c r="D292" i="15" l="1"/>
  <c r="F293" i="15"/>
  <c r="AL232" i="18"/>
  <c r="AM233" i="18"/>
  <c r="R282" i="18"/>
  <c r="J90" i="52"/>
  <c r="J95" i="52"/>
  <c r="W242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91" i="15" l="1"/>
  <c r="F292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F291" i="15" l="1"/>
  <c r="D290" i="15"/>
  <c r="AL230" i="18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D289" i="15" l="1"/>
  <c r="F290" i="15"/>
  <c r="AM230" i="18"/>
  <c r="AL229" i="18"/>
  <c r="P97" i="52"/>
  <c r="P98" i="52"/>
  <c r="P95" i="52"/>
  <c r="P96" i="52"/>
  <c r="P94" i="52"/>
  <c r="P93" i="52"/>
  <c r="O138" i="18"/>
  <c r="N91" i="52"/>
  <c r="P92" i="52" s="1"/>
  <c r="F289" i="15" l="1"/>
  <c r="D288" i="15"/>
  <c r="AL228" i="18"/>
  <c r="AM228" i="18" s="1"/>
  <c r="AM229" i="18"/>
  <c r="R243" i="18"/>
  <c r="T266" i="18" s="1"/>
  <c r="W241" i="18"/>
  <c r="W240" i="18"/>
  <c r="W239" i="18"/>
  <c r="M48" i="52"/>
  <c r="M47" i="52"/>
  <c r="N38" i="52"/>
  <c r="N37" i="52"/>
  <c r="M49" i="52"/>
  <c r="N50" i="52" s="1"/>
  <c r="D287" i="15" l="1"/>
  <c r="F288" i="15"/>
  <c r="N49" i="52"/>
  <c r="D63" i="58"/>
  <c r="AL148" i="18"/>
  <c r="AM148" i="18" s="1"/>
  <c r="AL149" i="18"/>
  <c r="AM149" i="18" s="1"/>
  <c r="W238" i="18"/>
  <c r="F287" i="15" l="1"/>
  <c r="D286" i="15"/>
  <c r="G127" i="18"/>
  <c r="J127" i="18" s="1"/>
  <c r="J126" i="18"/>
  <c r="G125" i="18"/>
  <c r="J125" i="18" s="1"/>
  <c r="G124" i="18"/>
  <c r="J124" i="18" s="1"/>
  <c r="D285" i="15" l="1"/>
  <c r="F286" i="15"/>
  <c r="J128" i="18"/>
  <c r="W237" i="18"/>
  <c r="D284" i="15" l="1"/>
  <c r="F285" i="15"/>
  <c r="O90" i="52"/>
  <c r="O91" i="52"/>
  <c r="J91" i="52"/>
  <c r="D283" i="15" l="1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6" i="18"/>
  <c r="F283" i="15" l="1"/>
  <c r="D282" i="15"/>
  <c r="G32" i="57"/>
  <c r="H32" i="57"/>
  <c r="D32" i="57"/>
  <c r="I32" i="57" s="1"/>
  <c r="D345" i="20"/>
  <c r="W235" i="18"/>
  <c r="W234" i="18"/>
  <c r="D281" i="15" l="1"/>
  <c r="F282" i="15"/>
  <c r="W170" i="18"/>
  <c r="W169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F281" i="15" l="1"/>
  <c r="D280" i="15"/>
  <c r="C46" i="56"/>
  <c r="B46" i="56"/>
  <c r="D279" i="15" l="1"/>
  <c r="F280" i="15"/>
  <c r="O84" i="52"/>
  <c r="P22" i="18"/>
  <c r="W233" i="18"/>
  <c r="D343" i="20"/>
  <c r="F279" i="15" l="1"/>
  <c r="D278" i="15"/>
  <c r="W232" i="18"/>
  <c r="D342" i="20"/>
  <c r="J83" i="52"/>
  <c r="O83" i="52"/>
  <c r="W231" i="18"/>
  <c r="W230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29" i="18"/>
  <c r="AL145" i="18" l="1"/>
  <c r="AM145" i="18" s="1"/>
  <c r="D340" i="20" l="1"/>
  <c r="W228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7" i="18" l="1"/>
  <c r="D80" i="57"/>
  <c r="AD46" i="52" l="1"/>
  <c r="AE46" i="52"/>
  <c r="G46" i="10"/>
  <c r="D331" i="20" l="1"/>
  <c r="D330" i="20" l="1"/>
  <c r="W226" i="18" l="1"/>
  <c r="W225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4" i="18" l="1"/>
  <c r="W223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2" i="18"/>
  <c r="W221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8" i="18" l="1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6" i="18" l="1"/>
  <c r="W215" i="18"/>
  <c r="N30" i="52"/>
  <c r="N29" i="52"/>
  <c r="AD27" i="52"/>
  <c r="Z27" i="52"/>
  <c r="AE27" i="52"/>
  <c r="W214" i="18" l="1"/>
  <c r="W213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2" i="18"/>
  <c r="W211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0" i="18"/>
  <c r="W209" i="18"/>
  <c r="N23" i="52"/>
  <c r="N22" i="52"/>
  <c r="Z24" i="52"/>
  <c r="AD24" i="52"/>
  <c r="AE24" i="52"/>
  <c r="I368" i="20" l="1"/>
  <c r="G367" i="20"/>
  <c r="J368" i="20"/>
  <c r="K368" i="20"/>
  <c r="AL222" i="18"/>
  <c r="AM223" i="18"/>
  <c r="W208" i="18"/>
  <c r="W207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6" i="18"/>
  <c r="W205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4" i="18"/>
  <c r="W20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2" i="18"/>
  <c r="W201" i="18"/>
  <c r="D303" i="20"/>
  <c r="D302" i="20"/>
  <c r="W20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8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7" i="18"/>
  <c r="W196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5" i="18"/>
  <c r="W194" i="18"/>
  <c r="G346" i="20" l="1"/>
  <c r="J347" i="20"/>
  <c r="I347" i="20"/>
  <c r="K347" i="20"/>
  <c r="D293" i="20"/>
  <c r="K346" i="20" l="1"/>
  <c r="G345" i="20"/>
  <c r="J346" i="20"/>
  <c r="I346" i="20"/>
  <c r="W193" i="18"/>
  <c r="K345" i="20" l="1"/>
  <c r="G344" i="20"/>
  <c r="J345" i="20"/>
  <c r="I345" i="20"/>
  <c r="D292" i="20"/>
  <c r="C8" i="36"/>
  <c r="W192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7" i="18"/>
  <c r="W190" i="18"/>
  <c r="D278" i="20"/>
  <c r="J327" i="20" l="1"/>
  <c r="K327" i="20"/>
  <c r="G326" i="20"/>
  <c r="I327" i="20"/>
  <c r="W168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2" i="18"/>
  <c r="I325" i="20" l="1"/>
  <c r="K325" i="20"/>
  <c r="J325" i="20"/>
  <c r="G324" i="20"/>
  <c r="S16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1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8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50" i="18"/>
  <c r="AM120" i="18" l="1"/>
  <c r="AL119" i="18"/>
  <c r="AM119" i="18" l="1"/>
  <c r="AL118" i="18"/>
  <c r="T165" i="18"/>
  <c r="S63" i="18"/>
  <c r="S64" i="18" s="1"/>
  <c r="S65" i="18" s="1"/>
  <c r="R186" i="18"/>
  <c r="R184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0" i="18"/>
  <c r="Q82" i="18" s="1"/>
  <c r="R183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3" i="18" l="1"/>
  <c r="S74" i="18" s="1"/>
  <c r="AM115" i="18"/>
  <c r="AL114" i="18"/>
  <c r="R10" i="49"/>
  <c r="R9" i="49"/>
  <c r="S10" i="49" s="1"/>
  <c r="S75" i="18" l="1"/>
  <c r="S76" i="18" s="1"/>
  <c r="S77" i="18" s="1"/>
  <c r="S78" i="18" s="1"/>
  <c r="S79" i="18" s="1"/>
  <c r="S80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R182" i="18" l="1"/>
  <c r="AJ254" i="18"/>
  <c r="AJ255" i="18" s="1"/>
  <c r="AM94" i="18"/>
  <c r="AL93" i="18"/>
  <c r="AL194" i="18"/>
  <c r="AM195" i="18"/>
  <c r="AL92" i="18" l="1"/>
  <c r="AM93" i="18"/>
  <c r="AL193" i="18"/>
  <c r="AM194" i="18"/>
  <c r="S92" i="18"/>
  <c r="S93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4" i="18"/>
  <c r="AL85" i="18" l="1"/>
  <c r="AM86" i="18"/>
  <c r="S95" i="18"/>
  <c r="S96" i="18" s="1"/>
  <c r="S97" i="18" s="1"/>
  <c r="S98" i="18" s="1"/>
  <c r="S99" i="18" s="1"/>
  <c r="S10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1" i="18"/>
  <c r="S102" i="18" s="1"/>
  <c r="S103" i="18" s="1"/>
  <c r="S10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5" i="18" l="1"/>
  <c r="AL77" i="18"/>
  <c r="AM78" i="18"/>
  <c r="N55" i="18"/>
  <c r="G307" i="20" l="1"/>
  <c r="K308" i="20"/>
  <c r="J308" i="20"/>
  <c r="I308" i="20"/>
  <c r="S106" i="18"/>
  <c r="AL76" i="18"/>
  <c r="AM77" i="18"/>
  <c r="S107" i="18" l="1"/>
  <c r="S108" i="18" s="1"/>
  <c r="S109" i="18" s="1"/>
  <c r="S110" i="18" s="1"/>
  <c r="S111" i="18" s="1"/>
  <c r="S112" i="18" s="1"/>
  <c r="G306" i="20"/>
  <c r="J307" i="20"/>
  <c r="I307" i="20"/>
  <c r="K307" i="20"/>
  <c r="AL75" i="18"/>
  <c r="AM76" i="18"/>
  <c r="N49" i="18"/>
  <c r="Q157" i="18" s="1"/>
  <c r="R181" i="18" l="1"/>
  <c r="R191" i="18" s="1"/>
  <c r="T253" i="18" s="1"/>
  <c r="M100" i="18"/>
  <c r="N100" i="18" s="1"/>
  <c r="N107" i="18" s="1"/>
  <c r="AJ171" i="18"/>
  <c r="AJ172" i="18" s="1"/>
  <c r="S113" i="18"/>
  <c r="S114" i="18" s="1"/>
  <c r="S115" i="18" s="1"/>
  <c r="S116" i="18" s="1"/>
  <c r="G305" i="20"/>
  <c r="I306" i="20"/>
  <c r="K306" i="20"/>
  <c r="J306" i="20"/>
  <c r="AL74" i="18"/>
  <c r="AM75" i="18"/>
  <c r="S117" i="18" l="1"/>
  <c r="S118" i="18" s="1"/>
  <c r="S119" i="18" s="1"/>
  <c r="S120" i="18" s="1"/>
  <c r="V256" i="18"/>
  <c r="S170" i="18"/>
  <c r="U266" i="18"/>
  <c r="G304" i="20"/>
  <c r="I305" i="20"/>
  <c r="K305" i="20"/>
  <c r="J305" i="20"/>
  <c r="AL73" i="18"/>
  <c r="AM74" i="18"/>
  <c r="N81" i="18"/>
  <c r="V56" i="18" l="1"/>
  <c r="W56" i="18" s="1"/>
  <c r="V55" i="18"/>
  <c r="V52" i="18"/>
  <c r="V54" i="18"/>
  <c r="V53" i="18"/>
  <c r="V79" i="18"/>
  <c r="V80" i="18"/>
  <c r="V51" i="18"/>
  <c r="W51" i="18" s="1"/>
  <c r="S121" i="18"/>
  <c r="S122" i="18" s="1"/>
  <c r="V50" i="18"/>
  <c r="V49" i="18"/>
  <c r="V48" i="18"/>
  <c r="W48" i="18" s="1"/>
  <c r="V78" i="18"/>
  <c r="V77" i="18"/>
  <c r="V47" i="18"/>
  <c r="V46" i="18"/>
  <c r="W46" i="18" s="1"/>
  <c r="V76" i="18"/>
  <c r="V73" i="18"/>
  <c r="V75" i="18"/>
  <c r="V74" i="18"/>
  <c r="U170" i="18"/>
  <c r="V170" i="18" s="1"/>
  <c r="V45" i="18"/>
  <c r="X45" i="18" s="1"/>
  <c r="V72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7" i="18"/>
  <c r="V32" i="18"/>
  <c r="X32" i="18" s="1"/>
  <c r="V71" i="18"/>
  <c r="G303" i="20"/>
  <c r="K304" i="20"/>
  <c r="I304" i="20"/>
  <c r="J304" i="20"/>
  <c r="V266" i="18"/>
  <c r="V31" i="18"/>
  <c r="W31" i="18" s="1"/>
  <c r="V70" i="18"/>
  <c r="V119" i="18"/>
  <c r="W119" i="18" s="1"/>
  <c r="V120" i="18"/>
  <c r="V118" i="18"/>
  <c r="V30" i="18"/>
  <c r="W30" i="18" s="1"/>
  <c r="V69" i="18"/>
  <c r="V117" i="18"/>
  <c r="V115" i="18"/>
  <c r="V114" i="18"/>
  <c r="V113" i="18"/>
  <c r="V112" i="18"/>
  <c r="V111" i="18"/>
  <c r="V116" i="18"/>
  <c r="V156" i="18"/>
  <c r="V109" i="18"/>
  <c r="W109" i="18" s="1"/>
  <c r="V110" i="18"/>
  <c r="V29" i="18"/>
  <c r="W29" i="18" s="1"/>
  <c r="V68" i="18"/>
  <c r="V107" i="18"/>
  <c r="W107" i="18" s="1"/>
  <c r="V108" i="18"/>
  <c r="V105" i="18"/>
  <c r="W105" i="18" s="1"/>
  <c r="V106" i="18"/>
  <c r="V104" i="18"/>
  <c r="W104" i="18" s="1"/>
  <c r="V103" i="18"/>
  <c r="V28" i="18"/>
  <c r="V27" i="18"/>
  <c r="W27" i="18" s="1"/>
  <c r="V67" i="18"/>
  <c r="V26" i="18"/>
  <c r="X26" i="18" s="1"/>
  <c r="V66" i="18"/>
  <c r="V81" i="18"/>
  <c r="V65" i="18"/>
  <c r="V102" i="18"/>
  <c r="V64" i="18"/>
  <c r="V101" i="18"/>
  <c r="V25" i="18"/>
  <c r="V100" i="18"/>
  <c r="V24" i="18"/>
  <c r="V22" i="18"/>
  <c r="V23" i="18"/>
  <c r="W23" i="18" s="1"/>
  <c r="V99" i="18"/>
  <c r="V98" i="18"/>
  <c r="V97" i="18"/>
  <c r="V21" i="18"/>
  <c r="V96" i="18"/>
  <c r="V95" i="18"/>
  <c r="V93" i="18"/>
  <c r="V94" i="18"/>
  <c r="V90" i="18"/>
  <c r="V20" i="18"/>
  <c r="V91" i="18"/>
  <c r="V92" i="18"/>
  <c r="AL72" i="18"/>
  <c r="AM73" i="18"/>
  <c r="X56" i="18" l="1"/>
  <c r="X53" i="18"/>
  <c r="W53" i="18"/>
  <c r="W54" i="18"/>
  <c r="X54" i="18"/>
  <c r="W52" i="18"/>
  <c r="X52" i="18"/>
  <c r="X55" i="18"/>
  <c r="W55" i="18"/>
  <c r="X80" i="18"/>
  <c r="W80" i="18"/>
  <c r="W79" i="18"/>
  <c r="X79" i="18"/>
  <c r="X51" i="18"/>
  <c r="V121" i="18"/>
  <c r="W121" i="18" s="1"/>
  <c r="S123" i="18"/>
  <c r="S124" i="18" s="1"/>
  <c r="V122" i="18"/>
  <c r="X122" i="18" s="1"/>
  <c r="W49" i="18"/>
  <c r="X49" i="18"/>
  <c r="W50" i="18"/>
  <c r="X50" i="18"/>
  <c r="X48" i="18"/>
  <c r="W78" i="18"/>
  <c r="X78" i="18"/>
  <c r="W77" i="18"/>
  <c r="X77" i="18"/>
  <c r="W47" i="18"/>
  <c r="X47" i="18"/>
  <c r="X46" i="18"/>
  <c r="W76" i="18"/>
  <c r="X76" i="18"/>
  <c r="W74" i="18"/>
  <c r="X74" i="18"/>
  <c r="W75" i="18"/>
  <c r="X75" i="18"/>
  <c r="W73" i="18"/>
  <c r="X73" i="18"/>
  <c r="W45" i="18"/>
  <c r="X72" i="18"/>
  <c r="W72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7" i="18"/>
  <c r="X57" i="18"/>
  <c r="W34" i="18"/>
  <c r="X34" i="18"/>
  <c r="W35" i="18"/>
  <c r="X35" i="18"/>
  <c r="W32" i="18"/>
  <c r="X71" i="18"/>
  <c r="W71" i="18"/>
  <c r="S169" i="18"/>
  <c r="G302" i="20"/>
  <c r="K303" i="20"/>
  <c r="I303" i="20"/>
  <c r="J303" i="20"/>
  <c r="X31" i="18"/>
  <c r="W70" i="18"/>
  <c r="X70" i="18"/>
  <c r="X119" i="18"/>
  <c r="X121" i="18"/>
  <c r="W120" i="18"/>
  <c r="X120" i="18"/>
  <c r="X30" i="18"/>
  <c r="W118" i="18"/>
  <c r="X118" i="18"/>
  <c r="W69" i="18"/>
  <c r="X69" i="18"/>
  <c r="W117" i="18"/>
  <c r="X117" i="18"/>
  <c r="X114" i="18"/>
  <c r="W114" i="18"/>
  <c r="W115" i="18"/>
  <c r="X115" i="18"/>
  <c r="W112" i="18"/>
  <c r="X112" i="18"/>
  <c r="W113" i="18"/>
  <c r="X113" i="18"/>
  <c r="W156" i="18"/>
  <c r="X156" i="18"/>
  <c r="X116" i="18"/>
  <c r="W116" i="18"/>
  <c r="W111" i="18"/>
  <c r="X111" i="18"/>
  <c r="X109" i="18"/>
  <c r="W110" i="18"/>
  <c r="X110" i="18"/>
  <c r="X29" i="18"/>
  <c r="W68" i="18"/>
  <c r="X68" i="18"/>
  <c r="X107" i="18"/>
  <c r="W108" i="18"/>
  <c r="X108" i="18"/>
  <c r="X105" i="18"/>
  <c r="W106" i="18"/>
  <c r="X106" i="18"/>
  <c r="X104" i="18"/>
  <c r="W103" i="18"/>
  <c r="X103" i="18"/>
  <c r="W28" i="18"/>
  <c r="X28" i="18"/>
  <c r="X27" i="18"/>
  <c r="W67" i="18"/>
  <c r="X67" i="18"/>
  <c r="W26" i="18"/>
  <c r="W66" i="18"/>
  <c r="X66" i="18"/>
  <c r="W65" i="18"/>
  <c r="X65" i="18"/>
  <c r="W81" i="18"/>
  <c r="X81" i="18"/>
  <c r="S168" i="18"/>
  <c r="S167" i="18"/>
  <c r="U167" i="18" s="1"/>
  <c r="W102" i="18"/>
  <c r="X102" i="18"/>
  <c r="X64" i="18"/>
  <c r="W64" i="18"/>
  <c r="W95" i="18"/>
  <c r="X95" i="18"/>
  <c r="W97" i="18"/>
  <c r="X97" i="18"/>
  <c r="W100" i="18"/>
  <c r="X100" i="18"/>
  <c r="W92" i="18"/>
  <c r="X92" i="18"/>
  <c r="W98" i="18"/>
  <c r="X98" i="18"/>
  <c r="X23" i="18"/>
  <c r="W25" i="18"/>
  <c r="X25" i="18"/>
  <c r="W20" i="18"/>
  <c r="X20" i="18"/>
  <c r="W94" i="18"/>
  <c r="X94" i="18"/>
  <c r="W22" i="18"/>
  <c r="X22" i="18"/>
  <c r="X101" i="18"/>
  <c r="W101" i="18"/>
  <c r="W91" i="18"/>
  <c r="X91" i="18"/>
  <c r="W90" i="18"/>
  <c r="X90" i="18"/>
  <c r="W96" i="18"/>
  <c r="X96" i="18"/>
  <c r="W93" i="18"/>
  <c r="X93" i="18"/>
  <c r="X21" i="18"/>
  <c r="W21" i="18"/>
  <c r="W99" i="18"/>
  <c r="X99" i="18"/>
  <c r="W24" i="18"/>
  <c r="X24" i="18"/>
  <c r="AL71" i="18"/>
  <c r="AM72" i="18"/>
  <c r="W122" i="18" l="1"/>
  <c r="V123" i="18"/>
  <c r="U169" i="18"/>
  <c r="V169" i="18" s="1"/>
  <c r="N33" i="18"/>
  <c r="L21" i="18" s="1"/>
  <c r="U168" i="18"/>
  <c r="V168" i="18" s="1"/>
  <c r="N58" i="18"/>
  <c r="G301" i="20"/>
  <c r="I302" i="20"/>
  <c r="K302" i="20"/>
  <c r="J302" i="20"/>
  <c r="AL70" i="18"/>
  <c r="AM71" i="18"/>
  <c r="X123" i="18" l="1"/>
  <c r="W12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5" i="18" l="1"/>
  <c r="V124" i="18"/>
  <c r="G299" i="20"/>
  <c r="I300" i="20"/>
  <c r="K300" i="20"/>
  <c r="J300" i="20"/>
  <c r="AL68" i="18"/>
  <c r="AM69" i="18"/>
  <c r="N2" i="33"/>
  <c r="X124" i="18" l="1"/>
  <c r="W124" i="18"/>
  <c r="V125" i="18"/>
  <c r="S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6" i="18" l="1"/>
  <c r="S127" i="18"/>
  <c r="W125" i="18"/>
  <c r="X12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7" i="18" l="1"/>
  <c r="S128" i="18"/>
  <c r="S129" i="18" s="1"/>
  <c r="X126" i="18"/>
  <c r="W126" i="18"/>
  <c r="G61" i="14"/>
  <c r="E60" i="14"/>
  <c r="I297" i="20"/>
  <c r="K297" i="20"/>
  <c r="J297" i="20"/>
  <c r="G296" i="20"/>
  <c r="AL65" i="18"/>
  <c r="AM66" i="18"/>
  <c r="V128" i="18" l="1"/>
  <c r="W127" i="18"/>
  <c r="X127" i="18"/>
  <c r="E59" i="14"/>
  <c r="G60" i="14"/>
  <c r="G295" i="20"/>
  <c r="K296" i="20"/>
  <c r="I296" i="20"/>
  <c r="J296" i="20"/>
  <c r="AL64" i="18"/>
  <c r="AM65" i="18"/>
  <c r="W128" i="18" l="1"/>
  <c r="X128" i="18"/>
  <c r="E58" i="14"/>
  <c r="G59" i="14"/>
  <c r="G294" i="20"/>
  <c r="K295" i="20"/>
  <c r="J295" i="20"/>
  <c r="I295" i="20"/>
  <c r="AM64" i="18"/>
  <c r="AL63" i="18"/>
  <c r="S130" i="18" l="1"/>
  <c r="V129" i="18"/>
  <c r="G58" i="14"/>
  <c r="E57" i="14"/>
  <c r="G293" i="20"/>
  <c r="I294" i="20"/>
  <c r="J294" i="20"/>
  <c r="K294" i="20"/>
  <c r="AL62" i="18"/>
  <c r="AM63" i="18"/>
  <c r="X129" i="18" l="1"/>
  <c r="W129" i="18"/>
  <c r="S131" i="18"/>
  <c r="V130" i="18"/>
  <c r="G57" i="14"/>
  <c r="E56" i="14"/>
  <c r="G292" i="20"/>
  <c r="K293" i="20"/>
  <c r="J293" i="20"/>
  <c r="I293" i="20"/>
  <c r="AL61" i="18"/>
  <c r="AM62" i="18"/>
  <c r="X130" i="18" l="1"/>
  <c r="W130" i="18"/>
  <c r="S132" i="18"/>
  <c r="S133" i="18" s="1"/>
  <c r="V131" i="18"/>
  <c r="E55" i="14"/>
  <c r="G56" i="14"/>
  <c r="J292" i="20"/>
  <c r="I292" i="20"/>
  <c r="G291" i="20"/>
  <c r="K292" i="20"/>
  <c r="AM61" i="18"/>
  <c r="AL60" i="18"/>
  <c r="X131" i="18" l="1"/>
  <c r="W131" i="18"/>
  <c r="V13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W132" i="18"/>
  <c r="X132" i="18"/>
  <c r="E53" i="14"/>
  <c r="G54" i="14"/>
  <c r="J290" i="20"/>
  <c r="G289" i="20"/>
  <c r="I290" i="20"/>
  <c r="K290" i="20"/>
  <c r="AM59" i="18"/>
  <c r="AL58" i="18"/>
  <c r="S134" i="18" l="1"/>
  <c r="V134" i="18" s="1"/>
  <c r="G53" i="14"/>
  <c r="E52" i="14"/>
  <c r="X133" i="18"/>
  <c r="G288" i="20"/>
  <c r="K289" i="20"/>
  <c r="J289" i="20"/>
  <c r="I289" i="20"/>
  <c r="AL57" i="18"/>
  <c r="AM58" i="18"/>
  <c r="S135" i="18" l="1"/>
  <c r="S136" i="18" s="1"/>
  <c r="S137" i="18" s="1"/>
  <c r="S138" i="18" s="1"/>
  <c r="S139" i="18" s="1"/>
  <c r="E51" i="14"/>
  <c r="G52" i="14"/>
  <c r="W134" i="18"/>
  <c r="X134" i="18"/>
  <c r="J288" i="20"/>
  <c r="K288" i="20"/>
  <c r="G287" i="20"/>
  <c r="I288" i="20"/>
  <c r="AL56" i="18"/>
  <c r="AM57" i="18"/>
  <c r="B105" i="13"/>
  <c r="B196" i="13" s="1"/>
  <c r="V135" i="18" l="1"/>
  <c r="W135" i="18" s="1"/>
  <c r="V136" i="18"/>
  <c r="W136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5" i="18" l="1"/>
  <c r="X136" i="18"/>
  <c r="E49" i="14"/>
  <c r="G50" i="14"/>
  <c r="G285" i="20"/>
  <c r="J286" i="20"/>
  <c r="I286" i="20"/>
  <c r="K286" i="20"/>
  <c r="AM55" i="18"/>
  <c r="AL54" i="18"/>
  <c r="G49" i="14" l="1"/>
  <c r="E48" i="14"/>
  <c r="V137" i="18"/>
  <c r="G284" i="20"/>
  <c r="K285" i="20"/>
  <c r="J285" i="20"/>
  <c r="I285" i="20"/>
  <c r="AL53" i="18"/>
  <c r="AM54" i="18"/>
  <c r="G48" i="14" l="1"/>
  <c r="E47" i="14"/>
  <c r="W137" i="18"/>
  <c r="X13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38" i="18"/>
  <c r="K280" i="20"/>
  <c r="G279" i="20"/>
  <c r="J280" i="20"/>
  <c r="I280" i="20"/>
  <c r="AL48" i="18"/>
  <c r="AM49" i="18"/>
  <c r="E248" i="15"/>
  <c r="G43" i="14" l="1"/>
  <c r="E42" i="14"/>
  <c r="W138" i="18"/>
  <c r="X13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0" i="18"/>
  <c r="S141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39" i="18"/>
  <c r="X139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39" i="18"/>
  <c r="G272" i="20"/>
  <c r="J273" i="20"/>
  <c r="K273" i="20"/>
  <c r="I273" i="20"/>
  <c r="AL41" i="18"/>
  <c r="AM42" i="18"/>
  <c r="G36" i="14" l="1"/>
  <c r="E35" i="14"/>
  <c r="V140" i="18"/>
  <c r="W140" i="18" s="1"/>
  <c r="J272" i="20"/>
  <c r="K272" i="20"/>
  <c r="I272" i="20"/>
  <c r="G271" i="20"/>
  <c r="AM41" i="18"/>
  <c r="AL40" i="18"/>
  <c r="G35" i="14" l="1"/>
  <c r="E34" i="14"/>
  <c r="X140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2" i="18"/>
  <c r="S143" i="18" s="1"/>
  <c r="S144" i="18" s="1"/>
  <c r="V141" i="18"/>
  <c r="I269" i="20"/>
  <c r="K269" i="20"/>
  <c r="J269" i="20"/>
  <c r="G268" i="20"/>
  <c r="AL37" i="18"/>
  <c r="AM38" i="18"/>
  <c r="J57" i="33"/>
  <c r="J55" i="33"/>
  <c r="J54" i="33"/>
  <c r="G32" i="14" l="1"/>
  <c r="E31" i="14"/>
  <c r="W141" i="18"/>
  <c r="X141" i="18"/>
  <c r="V142" i="18"/>
  <c r="J268" i="20"/>
  <c r="I268" i="20"/>
  <c r="G267" i="20"/>
  <c r="K268" i="20"/>
  <c r="AL36" i="18"/>
  <c r="AM37" i="18"/>
  <c r="L57" i="33"/>
  <c r="E241" i="15"/>
  <c r="G31" i="14" l="1"/>
  <c r="E30" i="14"/>
  <c r="W142" i="18"/>
  <c r="X142" i="18"/>
  <c r="I267" i="20"/>
  <c r="K267" i="20"/>
  <c r="G266" i="20"/>
  <c r="J267" i="20"/>
  <c r="AM36" i="18"/>
  <c r="AL35" i="18"/>
  <c r="D168" i="20"/>
  <c r="E29" i="14" l="1"/>
  <c r="G30" i="14"/>
  <c r="V143" i="18"/>
  <c r="W143" i="18" s="1"/>
  <c r="J266" i="20"/>
  <c r="G265" i="20"/>
  <c r="K266" i="20"/>
  <c r="I266" i="20"/>
  <c r="AL34" i="18"/>
  <c r="AM35" i="18"/>
  <c r="E240" i="15"/>
  <c r="E239" i="15"/>
  <c r="X143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4" i="18" l="1"/>
  <c r="W144" i="18" s="1"/>
  <c r="S145" i="18"/>
  <c r="S14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4" i="18" l="1"/>
  <c r="V145" i="18"/>
  <c r="X145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5" i="18" l="1"/>
  <c r="E24" i="14"/>
  <c r="G25" i="14"/>
  <c r="J261" i="20"/>
  <c r="I261" i="20"/>
  <c r="K261" i="20"/>
  <c r="G260" i="20"/>
  <c r="D255" i="15"/>
  <c r="F256" i="15"/>
  <c r="AL29" i="18"/>
  <c r="AM30" i="18"/>
  <c r="V146" i="18" l="1"/>
  <c r="X146" i="18" s="1"/>
  <c r="S147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7" i="18" l="1"/>
  <c r="W147" i="18" s="1"/>
  <c r="S148" i="18"/>
  <c r="W146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7" i="18" l="1"/>
  <c r="V148" i="18"/>
  <c r="W148" i="18" s="1"/>
  <c r="S149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49" i="18" l="1"/>
  <c r="W149" i="18" s="1"/>
  <c r="S150" i="18"/>
  <c r="X148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49" i="18" l="1"/>
  <c r="S151" i="18"/>
  <c r="V150" i="18"/>
  <c r="G255" i="20"/>
  <c r="I256" i="20"/>
  <c r="J256" i="20"/>
  <c r="K256" i="20"/>
  <c r="D250" i="15"/>
  <c r="F251" i="15"/>
  <c r="AL24" i="18"/>
  <c r="AM25" i="18"/>
  <c r="E178" i="13"/>
  <c r="G179" i="13"/>
  <c r="V151" i="18" l="1"/>
  <c r="X151" i="18" s="1"/>
  <c r="S152" i="18"/>
  <c r="W150" i="18"/>
  <c r="X150" i="18"/>
  <c r="W151" i="18"/>
  <c r="G254" i="20"/>
  <c r="J255" i="20"/>
  <c r="I255" i="20"/>
  <c r="K255" i="20"/>
  <c r="D249" i="15"/>
  <c r="F250" i="15"/>
  <c r="AM24" i="18"/>
  <c r="AL23" i="18"/>
  <c r="E177" i="13"/>
  <c r="G178" i="13"/>
  <c r="V152" i="18" l="1"/>
  <c r="X152" i="18" s="1"/>
  <c r="S153" i="18"/>
  <c r="K254" i="20"/>
  <c r="I254" i="20"/>
  <c r="G253" i="20"/>
  <c r="J254" i="20"/>
  <c r="F249" i="15"/>
  <c r="D248" i="15"/>
  <c r="AM23" i="18"/>
  <c r="AL22" i="18"/>
  <c r="E176" i="13"/>
  <c r="G177" i="13"/>
  <c r="D165" i="20"/>
  <c r="V153" i="18" l="1"/>
  <c r="W153" i="18" s="1"/>
  <c r="S154" i="18"/>
  <c r="W152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X153" i="18" l="1"/>
  <c r="S155" i="18"/>
  <c r="V155" i="18" s="1"/>
  <c r="V154" i="18"/>
  <c r="K252" i="20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51" i="41"/>
  <c r="N2015" i="41"/>
  <c r="N2016" i="41"/>
  <c r="N2023" i="41"/>
  <c r="N2050" i="41"/>
  <c r="N2055" i="41"/>
  <c r="N2056" i="41"/>
  <c r="N2071" i="41"/>
  <c r="N2080" i="41"/>
  <c r="N2103" i="41"/>
  <c r="N2151" i="41"/>
  <c r="N2160" i="41"/>
  <c r="N2168" i="41"/>
  <c r="N2175" i="41"/>
  <c r="N2216" i="41"/>
  <c r="N2255" i="41"/>
  <c r="N2266" i="41"/>
  <c r="N2288" i="41"/>
  <c r="N2295" i="41"/>
  <c r="N2311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W154" i="18" l="1"/>
  <c r="X154" i="18"/>
  <c r="X155" i="18"/>
  <c r="W155" i="18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67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<sst xmlns="http://schemas.openxmlformats.org/spreadsheetml/2006/main" count="11825" uniqueCount="5070">
  <si>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</si>
  <si>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</si>
  <si>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</si>
  <si>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</si>
  <si>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</si>
  <si>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</si>
  <si>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</si>
  <si>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</si>
  <si>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</si>
  <si>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</si>
  <si>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</si>
  <si>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</si>
  <si>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</si>
  <si>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</si>
  <si>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</si>
  <si>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</si>
  <si>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</si>
  <si>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</si>
  <si>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</si>
  <si>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</si>
  <si>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</si>
  <si>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</si>
  <si>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</si>
  <si>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</si>
  <si>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</si>
  <si>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</si>
  <si>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</si>
  <si>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</si>
  <si>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</si>
  <si>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</si>
  <si>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</si>
  <si>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</si>
  <si>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</si>
  <si>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</si>
  <si>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</si>
  <si>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</si>
  <si>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</si>
  <si>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</si>
  <si>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</si>
  <si>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</si>
  <si>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</si>
  <si>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</si>
  <si>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</si>
  <si>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</si>
  <si>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</si>
  <si>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</si>
  <si>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</si>
  <si>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</si>
  <si>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</si>
  <si>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</si>
  <si>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</si>
  <si>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</si>
  <si>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</si>
  <si>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</si>
  <si>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</si>
  <si>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</si>
  <si>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</si>
  <si>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</si>
  <si>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</si>
  <si>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</si>
  <si>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</si>
  <si>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</si>
  <si>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</si>
  <si>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</si>
  <si>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</si>
  <si>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</si>
  <si>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</si>
  <si>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</si>
  <si>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</si>
  <si>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</si>
  <si>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</si>
  <si>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</si>
  <si>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</si>
  <si>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</si>
  <si>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</si>
  <si>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</si>
  <si>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</si>
  <si>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</si>
  <si>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</si>
  <si>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</si>
  <si>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</si>
  <si>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</si>
  <si>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</si>
  <si>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</si>
  <si>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</si>
  <si>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</si>
  <si>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</si>
  <si>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</si>
  <si>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</si>
  <si>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</si>
  <si>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</si>
  <si>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</si>
  <si>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</si>
  <si>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</si>
  <si>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</si>
  <si>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</si>
  <si>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</si>
  <si>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</si>
  <si>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</si>
  <si>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</si>
  <si>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</si>
  <si>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</si>
  <si>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</si>
  <si>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</si>
  <si>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</si>
  <si>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</si>
  <si>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</si>
  <si>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</si>
  <si>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</si>
  <si>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</si>
  <si>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</si>
  <si>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</si>
  <si>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</si>
  <si>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</si>
  <si>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</si>
  <si>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</si>
  <si>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</si>
  <si>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</si>
  <si>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</si>
  <si>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</si>
  <si>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</si>
  <si>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</si>
  <si>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</si>
  <si>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</si>
  <si>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</si>
  <si>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</si>
  <si>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</si>
  <si>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</si>
  <si>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</si>
  <si>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</si>
  <si>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</si>
  <si>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</si>
  <si>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</si>
  <si>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</si>
  <si>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</si>
  <si>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</si>
  <si>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</si>
  <si>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</si>
  <si>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</si>
  <si>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</si>
  <si>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</si>
  <si>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</si>
  <si>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</si>
  <si>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</si>
  <si>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</si>
  <si>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</si>
  <si>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</si>
  <si>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</si>
  <si>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</si>
  <si>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</si>
  <si>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</si>
  <si>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</si>
  <si>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</si>
  <si>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</si>
  <si>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</si>
  <si>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</si>
  <si>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</si>
  <si>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</si>
  <si>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</si>
  <si>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</si>
  <si>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</si>
  <si>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</si>
  <si>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</si>
  <si>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</si>
  <si>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</si>
  <si>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</si>
  <si>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</si>
  <si>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</si>
  <si>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</si>
  <si>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</si>
  <si>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</si>
  <si>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</si>
  <si>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</si>
  <si>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</si>
  <si>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</si>
  <si>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</si>
  <si>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</si>
  <si>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</si>
  <si>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</si>
  <si>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</si>
  <si>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</si>
  <si>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</si>
  <si>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</si>
  <si>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</si>
  <si>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</si>
  <si>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</si>
  <si>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</si>
  <si>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</si>
  <si>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</si>
  <si>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</si>
  <si>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</si>
  <si>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</si>
  <si>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</si>
  <si>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</si>
  <si>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</si>
  <si>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</si>
  <si>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</si>
  <si>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</si>
  <si>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</si>
  <si>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</si>
  <si>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</si>
  <si>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</si>
  <si>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</si>
  <si>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</si>
  <si>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</si>
  <si>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</si>
  <si>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</si>
  <si>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</si>
  <si>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</si>
  <si>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</si>
  <si>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</si>
  <si>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</si>
  <si>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</si>
  <si>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</si>
  <si>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</si>
  <si>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</si>
  <si>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</si>
  <si>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</si>
  <si>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</si>
  <si>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</si>
  <si>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</si>
  <si>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</si>
  <si>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</si>
  <si>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</si>
  <si>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</si>
  <si>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</si>
  <si>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</si>
  <si>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</si>
  <si>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</si>
  <si>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</si>
  <si>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</si>
  <si>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</si>
  <si>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</si>
  <si>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</si>
  <si>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</si>
  <si>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</si>
  <si>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</si>
  <si>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</si>
  <si>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</si>
  <si>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</si>
  <si>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</si>
  <si>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</si>
  <si>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</si>
  <si>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</si>
  <si>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</si>
  <si>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</si>
  <si>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</si>
  <si>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</si>
  <si>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</si>
  <si>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</si>
  <si>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</si>
  <si>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</si>
  <si>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</si>
  <si>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</si>
  <si>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</si>
  <si>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</si>
  <si>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</si>
  <si>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</si>
  <si>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</si>
  <si>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</si>
  <si>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</si>
  <si>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</si>
  <si>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</si>
  <si>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</si>
  <si>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</si>
  <si>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</si>
  <si>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</si>
  <si>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</si>
  <si>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</si>
  <si>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</si>
  <si>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</si>
  <si>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</si>
  <si>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</si>
  <si>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</si>
  <si>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</si>
  <si>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</si>
  <si>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</si>
  <si>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</si>
  <si>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</si>
  <si>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</si>
  <si>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</si>
  <si>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</si>
  <si>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</si>
  <si>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</si>
  <si>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</si>
  <si>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</si>
  <si>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</si>
  <si>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</si>
  <si>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</si>
  <si>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</si>
  <si>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</si>
  <si>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</si>
  <si>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</si>
  <si>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</si>
  <si>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</si>
  <si>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</si>
  <si>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</si>
  <si>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</si>
  <si>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</si>
  <si>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</si>
  <si>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</si>
  <si>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</si>
  <si>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</si>
  <si>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</si>
  <si>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</si>
  <si>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</si>
  <si>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</si>
  <si>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</si>
  <si>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</si>
  <si>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</si>
  <si>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</si>
  <si>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</si>
  <si>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</si>
  <si>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</si>
  <si>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</si>
  <si>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</si>
  <si>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</si>
  <si>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</si>
  <si>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</si>
  <si>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</si>
  <si>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</si>
  <si>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</si>
  <si>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</si>
  <si>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</si>
  <si>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</si>
  <si>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</si>
  <si>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</si>
  <si>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</si>
  <si>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</si>
  <si>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</si>
  <si>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</si>
  <si>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</si>
  <si>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</si>
  <si>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</si>
  <si>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</si>
  <si>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</si>
  <si>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</si>
  <si>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</si>
  <si>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</si>
  <si>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</si>
  <si>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</si>
  <si>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</si>
  <si>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</si>
  <si>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</si>
  <si>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</si>
  <si>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</si>
  <si>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</si>
  <si>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</si>
  <si>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</si>
  <si>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</si>
  <si>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</si>
  <si>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</si>
  <si>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</si>
  <si>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</si>
  <si>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</si>
  <si>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</si>
  <si>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</si>
  <si>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</si>
  <si>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</si>
  <si>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</si>
  <si>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</si>
  <si>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</si>
  <si>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</si>
  <si>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</si>
  <si>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</si>
  <si>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</si>
  <si>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</si>
  <si>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</si>
  <si>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</si>
  <si>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</si>
  <si>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</si>
  <si>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</si>
  <si>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</si>
  <si>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</si>
  <si>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</si>
  <si>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</si>
  <si>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</si>
  <si>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</si>
  <si>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</si>
  <si>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</si>
  <si>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</si>
  <si>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</si>
  <si>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</si>
  <si>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</si>
  <si>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</si>
  <si>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</si>
  <si>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</si>
  <si>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</si>
  <si>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</si>
  <si>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</si>
  <si>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</si>
  <si>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</si>
  <si>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</si>
  <si>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</si>
  <si>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</si>
  <si>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</si>
  <si>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</si>
  <si>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</si>
  <si>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</si>
  <si>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</si>
  <si>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</si>
  <si>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</si>
  <si>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</si>
  <si>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</si>
  <si>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</si>
  <si>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</si>
  <si>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</si>
  <si>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</si>
  <si>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</si>
  <si>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</si>
  <si>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</si>
  <si>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</si>
  <si>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</si>
  <si>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</si>
  <si>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</si>
  <si>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</si>
  <si>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</si>
  <si>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</si>
  <si>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</si>
  <si>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</si>
  <si>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</si>
  <si>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</si>
  <si>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</si>
  <si>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</si>
  <si>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</si>
  <si>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</si>
  <si>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</si>
  <si>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</si>
  <si>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</si>
  <si>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</si>
  <si>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</si>
  <si>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</si>
  <si>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</si>
  <si>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</si>
  <si>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</si>
  <si>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</si>
  <si>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</si>
  <si>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</si>
  <si>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</si>
  <si>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</si>
  <si>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</si>
  <si>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</si>
  <si>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</si>
  <si>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</si>
  <si>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</si>
  <si>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</si>
  <si>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</si>
  <si>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</si>
  <si>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</si>
  <si>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</si>
  <si>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</si>
  <si>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</si>
  <si>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</si>
  <si>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</si>
  <si>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</si>
  <si>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</si>
  <si>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</si>
  <si>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</si>
  <si>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</si>
  <si>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</si>
  <si>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</si>
  <si>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</si>
  <si>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</si>
  <si>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</si>
  <si>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</si>
  <si>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</si>
  <si>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</si>
  <si>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</si>
  <si>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</si>
  <si>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</si>
  <si>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</si>
  <si>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</si>
  <si>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</si>
  <si>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</si>
  <si>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</si>
  <si>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</si>
  <si>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</si>
  <si>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</si>
  <si>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</si>
  <si>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</si>
  <si>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</si>
  <si>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</si>
  <si>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</si>
  <si>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</si>
  <si>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</si>
  <si>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</si>
  <si>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</si>
  <si>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</si>
  <si>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</si>
  <si>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</si>
  <si>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</si>
  <si>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</si>
  <si>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</si>
  <si>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</si>
  <si>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</si>
  <si>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</si>
  <si>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</si>
  <si>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</si>
  <si>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</si>
  <si>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</si>
  <si>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</si>
  <si>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</si>
  <si>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</si>
  <si>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</si>
  <si>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</si>
  <si>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</si>
  <si>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</si>
  <si>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</si>
  <si>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</si>
  <si>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</si>
  <si>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</si>
  <si>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</si>
  <si>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</si>
  <si>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</si>
  <si>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</si>
  <si>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</si>
  <si>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</si>
  <si>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</si>
  <si>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</si>
  <si>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</si>
  <si>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</si>
  <si>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</si>
  <si>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</si>
  <si>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</si>
  <si>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</si>
  <si>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</si>
  <si>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</si>
  <si>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</si>
  <si>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</si>
  <si>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</si>
  <si>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</si>
  <si>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</si>
  <si>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</si>
  <si>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</si>
  <si>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</si>
  <si>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</si>
  <si>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</si>
  <si>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</si>
  <si>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</si>
  <si>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</si>
  <si>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</si>
  <si>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</si>
  <si>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</si>
  <si>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</si>
  <si>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</si>
  <si>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</si>
  <si>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</si>
  <si>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</si>
  <si>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</si>
  <si>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</si>
  <si>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</si>
  <si>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</si>
  <si>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</si>
  <si>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</si>
  <si>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</si>
  <si>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</si>
  <si>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</si>
  <si>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</si>
  <si>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</si>
  <si>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</si>
  <si>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</si>
  <si>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</si>
  <si>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</si>
  <si>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</si>
  <si>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</si>
  <si>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</si>
  <si>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</si>
  <si>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</si>
  <si>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</si>
  <si>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</si>
  <si>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</si>
  <si>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</si>
  <si>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</si>
  <si>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</si>
  <si>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</si>
  <si>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</si>
  <si>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</si>
  <si>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</si>
  <si>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</si>
  <si>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</si>
  <si>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</si>
  <si>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</si>
  <si>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</si>
  <si>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</si>
  <si>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</si>
  <si>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</si>
  <si>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</si>
  <si>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</si>
  <si>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</si>
  <si>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</si>
  <si>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</si>
  <si>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</si>
  <si>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</si>
  <si>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</si>
  <si>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</si>
  <si>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</si>
  <si>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</si>
  <si>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</si>
  <si>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</si>
  <si>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</si>
  <si>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</si>
  <si>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</si>
  <si>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</si>
  <si>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</si>
  <si>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</si>
  <si>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</si>
  <si>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</si>
  <si>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</si>
  <si>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</si>
  <si>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</si>
  <si>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</si>
  <si>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</si>
  <si>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</si>
  <si>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</si>
  <si>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</si>
  <si>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</si>
  <si>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</si>
  <si>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</si>
  <si>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</si>
  <si>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</si>
  <si>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</si>
  <si>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</si>
  <si>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</si>
  <si>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</si>
  <si>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</si>
  <si>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</si>
  <si>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</si>
  <si>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</si>
  <si>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</si>
  <si>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</si>
  <si>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</si>
  <si>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</si>
  <si>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</si>
  <si>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</si>
  <si>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</si>
  <si>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</si>
  <si>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</si>
  <si>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</si>
  <si>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</si>
  <si>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</si>
  <si>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</si>
  <si>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</si>
  <si>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</si>
  <si>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</si>
  <si>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</si>
  <si>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</si>
  <si>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</si>
  <si>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</si>
  <si>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</si>
  <si>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</si>
  <si>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</si>
  <si>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</si>
  <si>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</si>
  <si>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</si>
  <si>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</si>
  <si>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</si>
  <si>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</si>
  <si>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</si>
  <si>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</si>
  <si>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</si>
  <si>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</si>
  <si>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</si>
  <si>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</si>
  <si>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</si>
  <si>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</si>
  <si>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</si>
  <si>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</si>
  <si>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</si>
  <si>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</si>
  <si>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</si>
  <si>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</si>
  <si>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</si>
  <si>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</si>
  <si>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</si>
  <si>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</si>
  <si>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</si>
  <si>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</si>
  <si>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</si>
  <si>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</si>
  <si>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</si>
  <si>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</si>
  <si>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</si>
  <si>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</si>
  <si>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</si>
  <si>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</si>
  <si>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</si>
  <si>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</si>
  <si>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</si>
  <si>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</si>
  <si>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</si>
  <si>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</si>
  <si>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</si>
  <si>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</si>
  <si>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</si>
  <si>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</si>
  <si>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</si>
  <si>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</si>
  <si>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</si>
  <si>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</si>
  <si>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</si>
  <si>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</si>
  <si>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</si>
  <si>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</si>
  <si>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</si>
  <si>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</si>
  <si>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</si>
  <si>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</si>
  <si>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</si>
  <si>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</si>
  <si>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</si>
  <si>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</si>
  <si>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</si>
  <si>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</si>
  <si>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</si>
  <si>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</si>
  <si>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</si>
  <si>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</si>
  <si>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</si>
  <si>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</si>
  <si>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</si>
  <si>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</si>
  <si>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</si>
  <si>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</si>
  <si>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</si>
  <si>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</si>
  <si>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</si>
  <si>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</si>
  <si>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</si>
  <si>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</si>
  <si>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</si>
  <si>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</si>
  <si>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</si>
  <si>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</si>
  <si>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</si>
  <si>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</si>
  <si>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</si>
  <si>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</si>
  <si>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</si>
  <si>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</si>
  <si>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</si>
  <si>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</si>
  <si>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</si>
  <si>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</si>
  <si>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</si>
  <si>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</si>
  <si>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</si>
  <si>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</si>
  <si>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</si>
  <si>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</si>
  <si>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</si>
  <si>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</si>
  <si>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</si>
  <si>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</si>
  <si>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</si>
  <si>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</si>
  <si>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</si>
  <si>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</si>
  <si>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</si>
  <si>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</si>
  <si>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</si>
  <si>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</si>
  <si>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</si>
  <si>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</si>
  <si>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</si>
  <si>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</si>
  <si>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</si>
  <si>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</si>
  <si>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</si>
  <si>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</si>
  <si>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</si>
  <si>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</si>
  <si>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</si>
  <si>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</si>
  <si>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</si>
  <si>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</si>
  <si>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</si>
  <si>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</si>
  <si>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</si>
  <si>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</si>
  <si>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</si>
  <si>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</si>
  <si>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</si>
  <si>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</si>
  <si>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</si>
  <si>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</si>
  <si>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</si>
  <si>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</si>
  <si>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</si>
  <si>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</si>
  <si>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</si>
  <si>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</si>
  <si>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</si>
  <si>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</si>
  <si>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</si>
  <si>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</si>
  <si>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</si>
  <si>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</si>
  <si>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</si>
  <si>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</si>
  <si>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</si>
  <si>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</si>
  <si>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</si>
  <si>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</si>
  <si>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</si>
  <si>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</si>
  <si>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</si>
  <si>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</si>
  <si>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</si>
  <si>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</si>
  <si>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</si>
  <si>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</si>
  <si>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</si>
  <si>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</si>
  <si>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</si>
  <si>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</si>
  <si>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</si>
  <si>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</si>
  <si>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</si>
  <si>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</si>
  <si>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</si>
  <si>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</si>
  <si>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</si>
  <si>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</si>
  <si>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</si>
  <si>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</si>
  <si>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</si>
  <si>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</si>
  <si>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</si>
  <si>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</si>
  <si>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</si>
  <si>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</si>
  <si>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</si>
  <si>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</si>
  <si>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</si>
  <si>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</si>
  <si>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</si>
  <si>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</si>
  <si>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</si>
  <si>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</si>
  <si>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</si>
  <si>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</si>
  <si>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</si>
  <si>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</si>
  <si>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</si>
  <si>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</si>
  <si>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</si>
  <si>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</si>
  <si>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</si>
  <si>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</si>
  <si>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</si>
  <si>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</si>
  <si>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</si>
  <si>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</si>
  <si>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</si>
  <si>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</si>
  <si>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</si>
  <si>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</si>
  <si>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</si>
  <si>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</si>
  <si>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</si>
  <si>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</si>
  <si>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</si>
  <si>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</si>
  <si>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</si>
  <si>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</si>
  <si>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</si>
  <si>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</si>
  <si>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</si>
  <si>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</si>
  <si>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</si>
  <si>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</si>
  <si>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</si>
  <si>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</si>
  <si>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</si>
  <si>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</si>
  <si>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</si>
  <si>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</si>
  <si>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</si>
  <si>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</si>
  <si>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</si>
  <si>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</si>
  <si>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</si>
  <si>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</si>
  <si>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</si>
  <si>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</si>
  <si>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</si>
  <si>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</si>
  <si>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</si>
  <si>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</si>
  <si>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</si>
  <si>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</si>
  <si>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</si>
  <si>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</si>
  <si>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</si>
  <si>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</si>
  <si>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</si>
  <si>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</si>
  <si>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</si>
  <si>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</si>
  <si>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</si>
  <si>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</si>
  <si>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</si>
  <si>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</si>
  <si>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</si>
  <si>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</si>
  <si>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</si>
  <si>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</si>
  <si>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</si>
  <si>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</si>
  <si>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</si>
  <si>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</si>
  <si>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</si>
  <si>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</si>
  <si>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</si>
  <si>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</si>
  <si>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</si>
  <si>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</si>
  <si>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</si>
  <si>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</si>
  <si>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</si>
  <si>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</si>
  <si>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</si>
  <si>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</si>
  <si>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</si>
  <si>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</si>
  <si>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</si>
  <si>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</si>
  <si>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</si>
  <si>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</si>
  <si>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</si>
  <si>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</si>
  <si>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</si>
  <si>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</si>
  <si>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</si>
  <si>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</si>
  <si>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</si>
  <si>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</si>
  <si>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</si>
  <si>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</si>
  <si>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</si>
  <si>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</si>
  <si>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</si>
  <si>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</si>
  <si>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</si>
  <si>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</si>
  <si>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</si>
  <si>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</si>
  <si>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</si>
  <si>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</si>
  <si>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</si>
  <si>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</si>
  <si>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</si>
  <si>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</si>
  <si>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</si>
  <si>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</si>
  <si>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</si>
  <si>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</si>
  <si>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</si>
  <si>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</si>
  <si>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</si>
  <si>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</si>
  <si>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</si>
  <si>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</si>
  <si>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</si>
  <si>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</si>
  <si>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</si>
  <si>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</si>
  <si>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</si>
  <si>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</si>
  <si>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</si>
  <si>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</si>
  <si>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</si>
  <si>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</si>
  <si>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</si>
  <si>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</si>
  <si>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</si>
  <si>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</si>
  <si>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</si>
  <si>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</si>
  <si>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</si>
  <si>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</si>
  <si>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</si>
  <si>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</si>
  <si>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</si>
  <si>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</si>
  <si>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</si>
  <si>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</si>
  <si>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</si>
  <si>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</si>
  <si>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</si>
  <si>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</si>
  <si>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</si>
  <si>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</si>
  <si>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</si>
  <si>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</si>
  <si>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</si>
  <si>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</si>
  <si>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</si>
  <si>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</si>
  <si>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</si>
  <si>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</si>
  <si>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</si>
  <si>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</si>
  <si>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</si>
  <si>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</si>
  <si>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</si>
  <si>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</si>
  <si>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</si>
  <si>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</si>
  <si>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</si>
  <si>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</si>
  <si>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</si>
  <si>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</si>
  <si>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</si>
  <si>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</si>
  <si>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</si>
  <si>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</si>
  <si>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</si>
  <si>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</si>
  <si>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</si>
  <si>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</si>
  <si>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</si>
  <si>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</si>
  <si>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</si>
  <si>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</si>
  <si>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</si>
  <si>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</si>
  <si>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</si>
  <si>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</si>
  <si>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</si>
  <si>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</si>
  <si>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</si>
  <si>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</si>
  <si>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</si>
  <si>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</si>
  <si>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</si>
  <si>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</si>
  <si>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</si>
  <si>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</si>
  <si>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</si>
  <si>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</si>
  <si>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</si>
  <si>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</si>
  <si>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</si>
  <si>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</si>
  <si>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</si>
  <si>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</si>
  <si>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</si>
  <si>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</si>
  <si>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</si>
  <si>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</si>
  <si>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</si>
  <si>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</si>
  <si>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</si>
  <si>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</si>
  <si>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</si>
  <si>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</si>
  <si>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</si>
  <si>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</si>
  <si>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</si>
  <si>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</si>
  <si>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</si>
  <si>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</si>
  <si>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</si>
  <si>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</si>
  <si>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</si>
  <si>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</si>
  <si>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</si>
  <si>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</si>
  <si>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</si>
  <si>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</si>
  <si>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</si>
  <si>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</si>
  <si>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</si>
  <si>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</si>
  <si>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</si>
  <si>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</si>
  <si>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</si>
  <si>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</si>
  <si>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</si>
  <si>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</si>
  <si>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</si>
  <si>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</si>
  <si>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</si>
  <si>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</si>
  <si>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</si>
  <si>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</si>
  <si>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</si>
  <si>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</si>
  <si>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</si>
  <si>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</si>
  <si>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</si>
  <si>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</si>
  <si>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</si>
  <si>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</si>
  <si>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</si>
  <si>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</si>
  <si>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</si>
  <si>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</si>
  <si>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</si>
  <si>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</si>
  <si>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</si>
  <si>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</si>
  <si>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</si>
  <si>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</si>
  <si>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</si>
  <si>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</si>
  <si>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</si>
  <si>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</si>
  <si>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</si>
  <si>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</si>
  <si>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</si>
  <si>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</si>
  <si>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</si>
  <si>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</si>
  <si>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</si>
  <si>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</si>
  <si>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</si>
  <si>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</si>
  <si>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</si>
  <si>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</si>
  <si>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</si>
  <si>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</si>
  <si>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</si>
  <si>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</si>
  <si>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</si>
  <si>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</si>
  <si>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</si>
  <si>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</si>
  <si>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</si>
  <si>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</si>
  <si>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</si>
  <si>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</si>
  <si>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</si>
  <si>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</si>
  <si>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</si>
  <si>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</si>
  <si>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</si>
  <si>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</si>
  <si>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</si>
  <si>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</si>
  <si>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</si>
  <si>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</si>
  <si>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</si>
  <si>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</si>
  <si>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</si>
  <si>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</si>
  <si>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</si>
  <si>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</si>
  <si>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</si>
  <si>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</si>
  <si>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</si>
  <si>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</si>
  <si>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</si>
  <si>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</si>
  <si>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</si>
  <si>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</si>
  <si>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</si>
  <si>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</si>
  <si>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</si>
  <si>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</si>
  <si>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</si>
  <si>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</si>
  <si>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</si>
  <si>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</si>
  <si>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</si>
  <si>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</si>
  <si>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</si>
  <si>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</si>
  <si>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</si>
  <si>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</si>
  <si>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</si>
  <si>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</si>
  <si>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</si>
  <si>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</si>
  <si>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</si>
  <si>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</si>
  <si>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</si>
  <si>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</si>
  <si>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</si>
  <si>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</si>
  <si>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</si>
  <si>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</si>
  <si>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</si>
  <si>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</si>
  <si>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</si>
  <si>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</si>
  <si>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</si>
  <si>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</si>
  <si>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</si>
  <si>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</si>
  <si>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</si>
  <si>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</si>
  <si>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</si>
  <si>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</si>
  <si>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</si>
  <si>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</si>
  <si>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</si>
  <si>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</si>
  <si>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</si>
  <si>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</si>
  <si>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</si>
  <si>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</si>
  <si>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</si>
  <si>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</si>
  <si>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</si>
  <si>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</si>
  <si>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</si>
  <si>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</si>
  <si>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</si>
  <si>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</si>
  <si>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</si>
  <si>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</si>
  <si>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</si>
  <si>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</si>
  <si>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</si>
  <si>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</si>
  <si>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</si>
  <si>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</si>
  <si>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</si>
  <si>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</si>
  <si>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</si>
  <si>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</si>
  <si>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</si>
  <si>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</si>
  <si>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</si>
  <si>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</si>
  <si>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</si>
  <si>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</si>
  <si>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</si>
  <si>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</si>
  <si>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</si>
  <si>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</si>
  <si>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</si>
  <si>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</si>
  <si>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</si>
  <si>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</si>
  <si>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</si>
  <si>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</si>
  <si>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</si>
  <si>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</si>
  <si>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</si>
  <si>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</si>
  <si>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</si>
  <si>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</si>
  <si>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</si>
  <si>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</si>
  <si>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</si>
  <si>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</si>
  <si>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</si>
  <si>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</si>
  <si>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</si>
  <si>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</si>
  <si>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</si>
  <si>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</si>
  <si>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</si>
  <si>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</si>
  <si>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</si>
  <si>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</si>
  <si>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</si>
  <si>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</si>
  <si>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</si>
  <si>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</si>
  <si>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</si>
  <si>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</si>
  <si>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</si>
  <si>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</si>
  <si>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</si>
  <si>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</si>
  <si>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</si>
  <si>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</si>
  <si>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</si>
  <si>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</si>
  <si>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</si>
  <si>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</si>
  <si>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</si>
  <si>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</si>
  <si>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</si>
  <si>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</si>
  <si>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</si>
  <si>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</si>
  <si>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</si>
  <si>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</si>
  <si>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</si>
  <si>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</si>
  <si>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</si>
  <si>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</si>
  <si>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</si>
  <si>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</si>
  <si>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</si>
  <si>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</si>
  <si>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</si>
  <si>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</si>
  <si>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</si>
  <si>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</si>
  <si>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</si>
  <si>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</si>
  <si>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</si>
  <si>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</si>
  <si>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</si>
  <si>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</si>
  <si>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</si>
  <si>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</si>
  <si>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</si>
  <si>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</si>
  <si>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</si>
  <si>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</si>
  <si>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</si>
  <si>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</si>
  <si>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</si>
  <si>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</si>
  <si>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</si>
  <si>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</si>
  <si>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</si>
  <si>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</si>
  <si>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</si>
  <si>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</si>
  <si>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</si>
  <si>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</si>
  <si>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</si>
  <si>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</si>
  <si>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</si>
  <si>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</si>
  <si>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</si>
  <si>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</si>
  <si>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</si>
  <si>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</si>
  <si>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</si>
  <si>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</si>
  <si>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</si>
  <si>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</si>
  <si>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</si>
  <si>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</si>
  <si>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</si>
  <si>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</si>
  <si>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</si>
  <si>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</si>
  <si>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</si>
  <si>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</si>
  <si>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</si>
  <si>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</si>
  <si>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</si>
  <si>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</si>
  <si>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</si>
  <si>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</si>
  <si>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</si>
  <si>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</si>
  <si>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</si>
  <si>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</si>
  <si>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</si>
  <si>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</si>
  <si>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</si>
  <si>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</si>
  <si>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</si>
  <si>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</si>
  <si>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</si>
  <si>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</si>
  <si>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</si>
  <si>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</si>
  <si>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</si>
  <si>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</si>
  <si>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</si>
  <si>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</si>
  <si>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</si>
  <si>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</si>
  <si>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</si>
  <si>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</si>
  <si>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</si>
  <si>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</si>
  <si>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</si>
  <si>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</si>
  <si>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</si>
  <si>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</si>
  <si>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</si>
  <si>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</si>
  <si>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</si>
  <si>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</si>
  <si>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</si>
  <si>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</si>
  <si>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</si>
  <si>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</si>
  <si>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</si>
  <si>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</si>
  <si>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</si>
  <si>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</si>
  <si>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</si>
  <si>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</si>
  <si>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</si>
  <si>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</si>
  <si>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</si>
  <si>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</si>
  <si>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</si>
  <si>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</si>
  <si>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</si>
  <si>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</si>
  <si>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</si>
  <si>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</si>
  <si>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</si>
  <si>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</si>
  <si>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</si>
  <si>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</si>
  <si>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</si>
  <si>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</si>
  <si>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</si>
  <si>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</si>
  <si>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</si>
  <si>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</si>
  <si>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</si>
  <si>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</si>
  <si>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</si>
  <si>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</si>
  <si>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</si>
  <si>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</si>
  <si>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</si>
  <si>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</si>
  <si>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</si>
  <si>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</si>
  <si>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</si>
  <si>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</si>
  <si>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</si>
  <si>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</si>
  <si>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</si>
  <si>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</si>
  <si>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</si>
  <si>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</si>
  <si>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</si>
  <si>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</si>
  <si>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</si>
  <si>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</si>
  <si>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</si>
  <si>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</si>
  <si>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</si>
  <si>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</si>
  <si>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</si>
  <si>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</si>
  <si>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</si>
  <si>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</si>
  <si>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</si>
  <si>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</si>
  <si>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</si>
  <si>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</si>
  <si>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</si>
  <si>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</si>
  <si>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</si>
  <si>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</si>
  <si>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</si>
  <si>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</si>
  <si>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</si>
  <si>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</si>
  <si>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</si>
  <si>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</si>
  <si>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</si>
  <si>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</si>
  <si>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</si>
  <si>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</si>
  <si>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</si>
  <si>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</si>
  <si>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</si>
  <si>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</si>
  <si>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</si>
  <si>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</si>
  <si>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</si>
  <si>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</si>
  <si>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</si>
  <si>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</si>
  <si>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</si>
  <si>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</si>
  <si>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</si>
  <si>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</si>
  <si>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</si>
  <si>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</si>
  <si>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</si>
  <si>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</si>
  <si>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</si>
  <si>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</si>
  <si>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</si>
  <si>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</si>
  <si>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</si>
  <si>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</si>
  <si>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</si>
  <si>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</si>
  <si>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</si>
  <si>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</si>
  <si>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</si>
  <si>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</si>
  <si>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</si>
  <si>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</si>
  <si>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</si>
  <si>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</si>
  <si>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</si>
  <si>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</si>
  <si>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</si>
  <si>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</si>
  <si>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</si>
  <si>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</si>
  <si>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</si>
  <si>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</si>
  <si>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</si>
  <si>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</si>
  <si>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</si>
  <si>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</si>
  <si>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</si>
  <si>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</si>
  <si>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</si>
  <si>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</si>
  <si>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</si>
  <si>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</si>
  <si>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</si>
  <si>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</si>
  <si>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</si>
  <si>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</si>
  <si>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</si>
  <si>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</si>
  <si>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</si>
  <si>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</si>
  <si>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</si>
  <si>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</si>
  <si>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</si>
  <si>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</si>
  <si>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</si>
  <si>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</si>
  <si>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</si>
  <si>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</si>
  <si>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</si>
  <si>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</si>
  <si>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</si>
  <si>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</si>
  <si>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</si>
  <si>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</si>
  <si>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</si>
  <si>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</si>
  <si>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</si>
  <si>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</si>
  <si>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</si>
  <si>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</si>
  <si>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</si>
  <si>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</si>
  <si>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</si>
  <si>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</si>
  <si>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</si>
  <si>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</si>
  <si>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</si>
  <si>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</si>
  <si>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</si>
  <si>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</si>
  <si>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</si>
  <si>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</si>
  <si>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</si>
  <si>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</si>
  <si>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</si>
  <si>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</si>
  <si>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</si>
  <si>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</si>
  <si>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</si>
  <si>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</si>
  <si>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</si>
  <si>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</si>
  <si>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</si>
  <si>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</si>
  <si>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</si>
  <si>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</si>
  <si>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</si>
  <si>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</si>
  <si>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</si>
  <si>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</si>
  <si>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</si>
  <si>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</si>
  <si>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</si>
  <si>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</si>
  <si>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</si>
  <si>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</si>
  <si>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</si>
  <si>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</si>
  <si>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</si>
  <si>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</si>
  <si>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</si>
  <si>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</si>
  <si>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</si>
  <si>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</si>
  <si>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</si>
  <si>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</si>
  <si>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</si>
  <si>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</si>
  <si>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</si>
  <si>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</si>
  <si>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</si>
  <si>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</si>
  <si>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</si>
  <si>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</si>
  <si>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</si>
  <si>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</si>
  <si>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</si>
  <si>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</si>
  <si>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</si>
  <si>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</si>
  <si>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</si>
  <si>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</si>
  <si>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</si>
  <si>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</si>
  <si>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</si>
  <si>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</si>
  <si>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</si>
  <si>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</si>
  <si>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</si>
  <si>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</si>
  <si>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</si>
  <si>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</si>
  <si>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</si>
  <si>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</si>
  <si>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</si>
  <si>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</si>
  <si>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</si>
  <si>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</si>
  <si>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</si>
  <si>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</si>
  <si>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</si>
  <si>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</si>
  <si>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</si>
  <si>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</si>
  <si>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</si>
  <si>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</si>
  <si>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</si>
  <si>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</si>
  <si>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</si>
  <si>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</si>
  <si>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</si>
  <si>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</si>
  <si>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</si>
  <si>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</si>
  <si>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</si>
  <si>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</si>
  <si>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</si>
  <si>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</si>
  <si>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</si>
  <si>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</si>
  <si>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</si>
  <si>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</si>
  <si>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</si>
  <si>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</si>
  <si>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</si>
  <si>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</si>
  <si>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</si>
  <si>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</si>
  <si>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</si>
  <si>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</si>
  <si>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</si>
  <si>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</si>
  <si>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</si>
  <si>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</si>
  <si>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</si>
  <si>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</si>
  <si>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</si>
  <si>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</si>
  <si>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</si>
  <si>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</si>
  <si>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</si>
  <si>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</si>
  <si>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</si>
  <si>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</si>
  <si>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</si>
  <si>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</si>
  <si>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</si>
  <si>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</si>
  <si>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</si>
  <si>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</si>
  <si>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</si>
  <si>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</si>
  <si>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</si>
  <si>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</si>
  <si>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</si>
  <si>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</si>
  <si>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</si>
  <si>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</si>
  <si>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</si>
  <si>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</si>
  <si>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</si>
  <si>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</si>
  <si>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</si>
  <si>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</si>
  <si>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</si>
  <si>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</si>
  <si>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</si>
  <si>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</si>
  <si>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</si>
  <si>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</si>
  <si>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</si>
  <si>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</si>
  <si>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</si>
  <si>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</si>
  <si>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</si>
  <si>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</si>
  <si>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</si>
  <si>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</si>
  <si>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</si>
  <si>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</si>
  <si>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</si>
  <si>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</si>
  <si>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</si>
  <si>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</si>
  <si>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</si>
  <si>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</si>
  <si>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</si>
  <si>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</si>
  <si>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</si>
  <si>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</si>
  <si>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</si>
  <si>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</si>
  <si>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</si>
  <si>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</si>
  <si>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</si>
  <si>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</si>
  <si>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</si>
  <si>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</si>
  <si>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</si>
  <si>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</si>
  <si>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</si>
  <si>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</si>
  <si>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</si>
  <si>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</si>
  <si>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</si>
  <si>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</si>
  <si>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</si>
  <si>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</si>
  <si>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</si>
  <si>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</si>
  <si>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</si>
  <si>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</si>
  <si>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</si>
  <si>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</si>
  <si>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</si>
  <si>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</si>
  <si>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</si>
  <si>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</si>
  <si>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</si>
  <si>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</si>
  <si>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</si>
  <si>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</si>
  <si>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</si>
  <si>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</si>
  <si>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</si>
  <si>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</si>
  <si>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</si>
  <si>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</si>
  <si>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</si>
  <si>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</si>
  <si>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</si>
  <si>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</si>
  <si>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</si>
  <si>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</si>
  <si>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</si>
  <si>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</si>
  <si>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</si>
  <si>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</si>
  <si>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</si>
  <si>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</si>
  <si>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</si>
  <si>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</si>
  <si>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</si>
  <si>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</si>
  <si>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</si>
  <si>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</si>
  <si>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</si>
  <si>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</si>
  <si>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</si>
  <si>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</si>
  <si>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</si>
  <si>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</si>
  <si>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</si>
  <si>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</si>
  <si>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</si>
  <si>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</si>
  <si>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</si>
  <si>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</si>
  <si>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</si>
  <si>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</si>
  <si>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</si>
  <si>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</si>
  <si>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</si>
  <si>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</si>
  <si>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</si>
  <si>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</si>
  <si>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</si>
  <si>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</si>
  <si>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</si>
  <si>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</si>
  <si>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</si>
  <si>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</si>
  <si>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</si>
  <si>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</si>
  <si>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</si>
  <si>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</si>
  <si>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</si>
  <si>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</si>
  <si>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</si>
  <si>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</si>
  <si>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</si>
  <si>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</si>
  <si>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</si>
  <si>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</si>
  <si>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</si>
  <si>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</si>
  <si>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</si>
  <si>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</si>
  <si>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</si>
  <si>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</si>
  <si>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</si>
  <si>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</si>
  <si>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</si>
  <si>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</si>
  <si>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</si>
  <si>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</si>
  <si>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</si>
  <si>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</si>
  <si>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</si>
  <si>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</si>
  <si>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</si>
  <si>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</si>
  <si>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</si>
  <si>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</si>
  <si>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</si>
  <si>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</si>
  <si>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</si>
  <si>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</si>
  <si>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</si>
  <si>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</si>
  <si>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</si>
  <si>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</si>
  <si>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</si>
  <si>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</si>
  <si>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</si>
  <si>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</si>
  <si>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</si>
  <si>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</si>
  <si>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</si>
  <si>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</si>
  <si>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</si>
  <si>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</si>
  <si>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</si>
  <si>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</si>
  <si>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</si>
  <si>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</si>
  <si>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</si>
  <si>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</si>
  <si>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</si>
  <si>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</si>
  <si>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</si>
  <si>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</si>
  <si>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</si>
  <si>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</si>
  <si>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</si>
  <si>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</si>
  <si>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</si>
  <si>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</si>
  <si>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</si>
  <si>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</si>
  <si>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</si>
  <si>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</si>
  <si>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</si>
  <si>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</si>
  <si>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</si>
  <si>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</si>
  <si>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</si>
  <si>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</si>
  <si>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</si>
  <si>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</si>
  <si>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</si>
  <si>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</si>
  <si>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</si>
  <si>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</si>
  <si>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</si>
  <si>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</si>
  <si>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</si>
  <si>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</si>
  <si>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</si>
  <si>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</si>
  <si>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</si>
  <si>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</si>
  <si>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</si>
  <si>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</si>
  <si>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</si>
  <si>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</si>
  <si>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</si>
  <si>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</si>
  <si>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</si>
  <si>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</si>
  <si>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</si>
  <si>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</si>
  <si>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</si>
  <si>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</si>
  <si>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</si>
  <si>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</si>
  <si>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</si>
  <si>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</si>
  <si>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</si>
  <si>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</si>
  <si>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</si>
  <si>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</si>
  <si>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</si>
  <si>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</si>
  <si>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</si>
  <si>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</si>
  <si>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</si>
  <si>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</si>
  <si>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</si>
  <si>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</si>
  <si>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</si>
  <si>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</si>
  <si>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</si>
  <si>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</si>
  <si>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</si>
  <si>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</si>
  <si>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</si>
  <si>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</si>
  <si>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</si>
  <si>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</si>
  <si>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</si>
  <si>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</si>
  <si>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</si>
  <si>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</si>
  <si>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</si>
  <si>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</si>
  <si>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</si>
  <si>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</si>
  <si>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</si>
  <si>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</si>
  <si>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</si>
  <si>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</si>
  <si>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</si>
  <si>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</si>
  <si>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</si>
  <si>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</si>
  <si>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</si>
  <si>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</si>
  <si>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</si>
  <si>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</si>
  <si>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</si>
  <si>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</si>
  <si>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</si>
  <si>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</si>
  <si>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</si>
  <si>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</si>
  <si>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</si>
  <si>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</si>
  <si>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</si>
  <si>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</si>
  <si>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</si>
  <si>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</si>
  <si>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</si>
  <si>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</si>
  <si>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</si>
  <si>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</si>
  <si>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</si>
  <si>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</si>
  <si>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</si>
  <si>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</si>
  <si>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</si>
  <si>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</si>
  <si>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</si>
  <si>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</si>
  <si>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</si>
  <si>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</si>
  <si>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</si>
  <si>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</si>
  <si>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</si>
  <si>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</si>
  <si>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</si>
  <si>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</si>
  <si>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</si>
  <si>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</si>
  <si>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</si>
  <si>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</si>
  <si>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</si>
  <si>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</si>
  <si>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</si>
  <si>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</si>
  <si>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</si>
  <si>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</si>
  <si>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</si>
  <si>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</si>
  <si>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</si>
  <si>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</si>
  <si>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</si>
  <si>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</si>
  <si>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</si>
  <si>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</si>
  <si>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</si>
  <si>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</si>
  <si>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</si>
  <si>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</si>
  <si>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</si>
  <si>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</si>
  <si>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</si>
  <si>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</si>
  <si>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</si>
  <si>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</si>
  <si>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</si>
  <si>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</si>
  <si>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</si>
  <si>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</si>
  <si>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</si>
  <si>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</si>
  <si>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</si>
  <si>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</si>
  <si>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</si>
  <si>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</si>
  <si>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</si>
  <si>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</si>
  <si>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</si>
  <si>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</si>
  <si>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</si>
  <si>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</si>
  <si>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</si>
  <si>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</si>
  <si>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</si>
  <si>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</si>
  <si>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</si>
  <si>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</si>
  <si>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</si>
  <si>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</si>
  <si>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</si>
  <si>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</si>
  <si>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</si>
  <si>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</si>
  <si>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</si>
  <si>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</si>
  <si>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</si>
  <si>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</si>
  <si>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</si>
  <si>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</si>
  <si>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</si>
  <si>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</si>
  <si>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</si>
  <si>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</si>
  <si>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</si>
  <si>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</si>
  <si>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</si>
  <si>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</si>
  <si>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</si>
  <si>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</si>
  <si>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</si>
  <si>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</si>
  <si>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</si>
  <si>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</si>
  <si>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</si>
  <si>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</si>
  <si>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</si>
  <si>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</si>
  <si>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</si>
  <si>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</si>
  <si>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</si>
  <si>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</si>
  <si>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</si>
  <si>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</si>
  <si>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</si>
  <si>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</si>
  <si>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</si>
  <si>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</si>
  <si>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</si>
  <si>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</si>
  <si>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</si>
  <si>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</si>
  <si>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</si>
  <si>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</si>
  <si>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</si>
  <si>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</si>
  <si>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</si>
  <si>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</si>
  <si>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</si>
  <si>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</si>
  <si>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</si>
  <si>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</si>
  <si>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</si>
  <si>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</si>
  <si>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</si>
  <si>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</si>
  <si>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</si>
  <si>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</si>
  <si>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</si>
  <si>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</si>
  <si>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</si>
  <si>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</si>
  <si>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</si>
  <si>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</si>
  <si>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</si>
  <si>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</si>
  <si>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</si>
  <si>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</si>
  <si>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</si>
  <si>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</si>
  <si>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</si>
  <si>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</si>
  <si>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</si>
  <si>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</si>
  <si>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</si>
  <si>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</si>
  <si>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</si>
  <si>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</si>
  <si>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</si>
  <si>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</si>
  <si>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</si>
  <si>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</si>
  <si>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</si>
  <si>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</si>
  <si>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</si>
  <si>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</si>
  <si>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</si>
  <si>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</si>
  <si>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</si>
  <si>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</si>
  <si>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</si>
  <si>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</si>
  <si>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</si>
  <si>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</si>
  <si>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</si>
  <si>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</si>
  <si>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</si>
  <si>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</si>
  <si>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</si>
  <si>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</si>
  <si>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</si>
  <si>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</si>
  <si>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</si>
  <si>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</si>
  <si>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</si>
  <si>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</si>
  <si>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</si>
  <si>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</si>
  <si>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</si>
  <si>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</si>
  <si>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</si>
  <si>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</si>
  <si>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</si>
  <si>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</si>
  <si>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</si>
  <si>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</si>
  <si>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</si>
  <si>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</si>
  <si>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</si>
  <si>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</si>
  <si>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</si>
  <si>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</si>
  <si>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</si>
  <si>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</si>
  <si>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</si>
  <si>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</si>
  <si>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</si>
  <si>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</si>
  <si>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</si>
  <si>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</si>
  <si>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</si>
  <si>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</si>
  <si>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</si>
  <si>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</si>
  <si>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</si>
  <si>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</si>
  <si>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</si>
  <si>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</si>
  <si>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</si>
  <si>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</si>
  <si>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</si>
  <si>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</si>
  <si>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</si>
  <si>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</si>
  <si>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</si>
  <si>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</si>
  <si>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</si>
  <si>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</si>
  <si>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</si>
  <si>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</si>
  <si>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</si>
  <si>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</si>
  <si>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</si>
  <si>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</si>
  <si>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</si>
  <si>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</si>
  <si>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</si>
  <si>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</si>
  <si>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</si>
  <si>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</si>
  <si>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</si>
  <si>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</si>
  <si>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</si>
  <si>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</si>
  <si>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</si>
  <si>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</si>
  <si>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</si>
  <si>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</si>
  <si>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</si>
  <si>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</si>
  <si>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</si>
  <si>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</si>
  <si>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</si>
  <si>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</si>
  <si>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</si>
  <si>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</si>
  <si>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</si>
  <si>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</si>
  <si>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</si>
  <si>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</si>
  <si>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</si>
  <si>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</si>
  <si>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</si>
  <si>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</si>
  <si>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</si>
  <si>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</si>
  <si>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</si>
  <si>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</si>
  <si>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</si>
  <si>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</si>
  <si>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</si>
  <si>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</si>
  <si>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</si>
  <si>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</si>
  <si>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</si>
  <si>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</si>
  <si>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</si>
  <si>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</si>
  <si>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</si>
  <si>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</si>
  <si>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</si>
  <si>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</si>
  <si>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</si>
  <si>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</si>
  <si>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</si>
  <si>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</si>
  <si>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</si>
  <si>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</si>
  <si>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</si>
  <si>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</si>
  <si>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</si>
  <si>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</si>
  <si>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</si>
  <si>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</si>
  <si>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</si>
  <si>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</si>
  <si>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</si>
  <si>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</si>
  <si>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</si>
  <si>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</si>
  <si>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</si>
  <si>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</si>
  <si>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</si>
  <si>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</si>
  <si>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</si>
  <si>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</si>
  <si>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</si>
  <si>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</si>
  <si>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</si>
  <si>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</si>
  <si>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</si>
  <si>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</si>
  <si>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</si>
  <si>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</si>
  <si>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</si>
  <si>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</si>
  <si>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</si>
  <si>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</si>
  <si>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</si>
  <si>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</si>
  <si>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</si>
  <si>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</si>
  <si>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</si>
  <si>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</si>
  <si>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</si>
  <si>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</si>
  <si>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</si>
  <si>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</si>
  <si>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</si>
  <si>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</si>
  <si>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</si>
  <si>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</si>
  <si>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</si>
  <si>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</si>
  <si>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</si>
  <si>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</si>
  <si>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</si>
  <si>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</si>
  <si>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</si>
  <si>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</si>
  <si>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</si>
  <si>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</si>
  <si>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</si>
  <si>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</si>
  <si>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</si>
  <si>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</si>
  <si>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</si>
  <si>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</si>
  <si>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</si>
  <si>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</si>
  <si>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</si>
  <si>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</si>
  <si>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</si>
  <si>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</si>
  <si>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</si>
  <si>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</si>
  <si>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</si>
  <si>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</si>
  <si>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</si>
  <si>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</si>
  <si>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</si>
  <si>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</si>
  <si>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</si>
  <si>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</si>
  <si>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</si>
  <si>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</si>
  <si>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</si>
  <si>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</si>
  <si>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</si>
  <si>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</si>
  <si>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</si>
  <si>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</si>
  <si>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</si>
  <si>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</si>
  <si>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</si>
  <si>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</si>
  <si>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</si>
  <si>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</si>
  <si>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</si>
  <si>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</si>
  <si>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</si>
  <si>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</si>
  <si>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</si>
  <si>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</si>
  <si>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</si>
  <si>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</si>
  <si>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</si>
  <si>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</si>
  <si>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</si>
  <si>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</si>
  <si>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</si>
  <si>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</si>
  <si>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</si>
  <si>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</si>
  <si>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</si>
  <si>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</si>
  <si>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</si>
  <si>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</si>
  <si>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</si>
  <si>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</si>
  <si>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</si>
  <si>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</si>
  <si>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</si>
  <si>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</si>
  <si>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</si>
  <si>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</si>
  <si>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</si>
  <si>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</si>
  <si>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</si>
  <si>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</si>
  <si>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</si>
  <si>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</si>
  <si>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</si>
  <si>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</si>
  <si>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</si>
  <si>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</si>
  <si>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</si>
  <si>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</si>
  <si>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</si>
  <si>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</si>
  <si>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</si>
  <si>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</si>
  <si>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</si>
  <si>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</si>
  <si>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</si>
  <si>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</si>
  <si>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</si>
  <si>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</si>
  <si>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</si>
  <si>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</si>
  <si>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</si>
  <si>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</si>
  <si>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</si>
  <si>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</si>
  <si>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</si>
  <si>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</si>
  <si>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</si>
  <si>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</si>
  <si>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</si>
  <si>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</si>
  <si>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</si>
  <si>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</si>
  <si>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</si>
  <si>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</si>
  <si>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</si>
  <si>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</si>
  <si>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</si>
  <si>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</si>
  <si>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</si>
  <si>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</si>
  <si>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</si>
  <si>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</si>
  <si>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</si>
  <si>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</si>
  <si>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</si>
  <si>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</si>
  <si>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</si>
  <si>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</si>
  <si>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</si>
  <si>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</si>
  <si>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</si>
  <si>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</si>
  <si>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</si>
  <si>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</si>
  <si>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</si>
  <si>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</si>
  <si>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</si>
  <si>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</si>
  <si>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</si>
  <si>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</si>
  <si>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</si>
  <si>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</si>
  <si>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</si>
  <si>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</si>
  <si>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</si>
  <si>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</si>
  <si>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</si>
  <si>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</si>
  <si>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</si>
  <si>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</si>
  <si>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</si>
  <si>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</si>
  <si>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</si>
  <si>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</si>
  <si>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</si>
  <si>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</si>
  <si>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</si>
  <si>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</si>
  <si>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</si>
  <si>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</si>
  <si>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</si>
  <si>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</si>
  <si>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</si>
  <si>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</si>
  <si>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</si>
  <si>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</si>
  <si>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</si>
  <si>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</si>
  <si>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</si>
  <si>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</si>
  <si>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</si>
  <si>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</si>
  <si>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</si>
  <si>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</si>
  <si>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</si>
  <si>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</si>
  <si>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</si>
  <si>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</si>
  <si>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</si>
  <si>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</si>
  <si>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</si>
  <si>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</si>
  <si>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</si>
  <si>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</si>
  <si>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</si>
  <si>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</si>
  <si>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</si>
  <si>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</si>
  <si>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</si>
  <si>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</si>
  <si>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</si>
  <si>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</si>
  <si>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</si>
  <si>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</si>
  <si>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</si>
  <si>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</si>
  <si>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</si>
  <si>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</si>
  <si>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</si>
  <si>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</si>
  <si>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</si>
  <si>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</si>
  <si>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</si>
  <si>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</si>
  <si>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</si>
  <si>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</si>
  <si>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</si>
  <si>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</si>
  <si>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</si>
  <si>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</si>
  <si>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</si>
  <si>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</si>
  <si>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</si>
  <si>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</si>
  <si>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</si>
  <si>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</si>
  <si>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</si>
  <si>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</si>
  <si>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</si>
  <si>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</si>
  <si>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</si>
  <si>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</si>
  <si>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</si>
  <si>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</si>
  <si>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</si>
  <si>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</si>
  <si>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</si>
  <si>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</si>
  <si>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</si>
  <si>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</si>
  <si>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</si>
  <si>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</si>
  <si>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</si>
  <si>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</si>
  <si>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</si>
  <si>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</si>
  <si>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</si>
  <si>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</si>
  <si>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</si>
  <si>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</si>
  <si>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</si>
  <si>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</si>
  <si>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</si>
  <si>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</si>
  <si>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</si>
  <si>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</si>
  <si>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</si>
  <si>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</si>
  <si>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</si>
  <si>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</si>
  <si>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</si>
  <si>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</si>
  <si>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</si>
  <si>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</si>
  <si>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</si>
  <si>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</si>
  <si>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</si>
  <si>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</si>
  <si>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</si>
  <si>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</si>
  <si>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</si>
  <si>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</si>
  <si>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</si>
  <si>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</si>
  <si>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</si>
  <si>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</si>
  <si>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</si>
  <si>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</si>
  <si>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</si>
  <si>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</si>
  <si>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</si>
  <si>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</si>
  <si>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</si>
  <si>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</si>
  <si>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</si>
  <si>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</si>
  <si>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</si>
  <si>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</si>
  <si>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</si>
  <si>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</si>
  <si>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</si>
  <si>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</si>
  <si>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</si>
  <si>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</si>
  <si>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</si>
  <si>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</si>
  <si>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</si>
  <si>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</si>
  <si>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</si>
  <si>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</si>
  <si>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</si>
  <si>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</si>
  <si>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</si>
  <si>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</si>
  <si>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</si>
  <si>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</si>
  <si>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</si>
  <si>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</si>
  <si>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</si>
  <si>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</si>
  <si>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</si>
  <si>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</si>
  <si>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</si>
  <si>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</si>
  <si>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</si>
  <si>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</si>
  <si>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</si>
  <si>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</si>
  <si>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</si>
  <si>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</si>
  <si>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</si>
  <si>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</si>
  <si>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</si>
  <si>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</si>
  <si>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</si>
  <si>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</si>
  <si>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</si>
  <si>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</si>
  <si>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</si>
  <si>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</si>
  <si>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</si>
  <si>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</si>
  <si>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</si>
  <si>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</si>
  <si>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</si>
  <si>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</si>
  <si>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</si>
  <si>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</si>
  <si>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</si>
  <si>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</si>
  <si>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</si>
  <si>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</si>
  <si>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</si>
  <si>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</si>
  <si>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</si>
  <si>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</si>
  <si>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</si>
  <si>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</si>
  <si>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</si>
  <si>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</si>
  <si>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</si>
  <si>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</si>
  <si>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</si>
  <si>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</si>
  <si>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</si>
  <si>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</si>
  <si>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</si>
  <si>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</si>
  <si>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</si>
  <si>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</si>
  <si>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</si>
  <si>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</si>
  <si>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</si>
  <si>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</si>
  <si>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</si>
  <si>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</si>
  <si>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</si>
  <si>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</si>
  <si>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</si>
  <si>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</si>
  <si>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</si>
  <si>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</si>
  <si>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</si>
  <si>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</si>
  <si>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</si>
  <si>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</si>
  <si>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</si>
  <si>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</si>
  <si>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</si>
  <si>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</si>
  <si>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</si>
  <si>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</si>
  <si>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</si>
  <si>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</si>
  <si>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</si>
  <si>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</si>
  <si>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</si>
  <si>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</si>
  <si>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</si>
  <si>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</si>
  <si>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</si>
  <si>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</si>
  <si>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</si>
  <si>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</si>
  <si>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</si>
  <si>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</si>
  <si>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</si>
  <si>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</si>
  <si>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</si>
  <si>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</si>
  <si>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</si>
  <si>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</si>
  <si>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</si>
  <si>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</si>
  <si>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</si>
  <si>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</si>
  <si>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</si>
  <si>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</si>
  <si>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</si>
  <si>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</si>
  <si>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</si>
  <si>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</si>
  <si>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</si>
  <si>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</si>
  <si>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</si>
  <si>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</si>
  <si>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</si>
  <si>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</si>
  <si>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</si>
  <si>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</si>
  <si>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</si>
  <si>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</si>
  <si>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</si>
  <si>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</si>
  <si>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</si>
  <si>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</si>
  <si>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</si>
  <si>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</si>
  <si>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</si>
  <si>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</si>
  <si>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</si>
  <si>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</si>
  <si>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</si>
  <si>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</si>
  <si>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</si>
  <si>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</si>
  <si>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</si>
  <si>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</si>
  <si>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</si>
  <si>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</si>
  <si>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</si>
  <si>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</si>
  <si>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</si>
  <si>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</si>
  <si>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</si>
  <si>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</si>
  <si>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</si>
  <si>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</si>
  <si>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</si>
  <si>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</si>
  <si>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</si>
  <si>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</si>
  <si>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</si>
  <si>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</si>
  <si>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</si>
  <si>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</si>
  <si>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</si>
  <si>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</si>
  <si>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</si>
  <si>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</si>
  <si>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</si>
  <si>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</si>
  <si>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</si>
  <si>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</si>
  <si>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</si>
  <si>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</si>
  <si>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</si>
  <si>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</si>
  <si>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</si>
  <si>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</si>
  <si>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</si>
  <si>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</si>
  <si>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</si>
  <si>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</si>
  <si>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</si>
  <si>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</si>
  <si>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</si>
  <si>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</si>
  <si>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</si>
  <si>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</si>
  <si>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</si>
  <si>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</si>
  <si>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</si>
  <si>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</si>
  <si>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</si>
  <si>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</si>
  <si>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</si>
  <si>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</si>
  <si>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</si>
  <si>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</si>
  <si>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</si>
  <si>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</si>
  <si>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</si>
  <si>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</si>
  <si>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</si>
  <si>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</si>
  <si>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</si>
  <si>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</si>
  <si>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</si>
  <si>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</si>
  <si>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</si>
  <si>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</si>
  <si>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</si>
  <si>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</si>
  <si>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</si>
  <si>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</si>
  <si>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</si>
  <si>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</si>
  <si>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</si>
  <si>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</si>
  <si>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</si>
  <si>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</si>
  <si>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</si>
  <si>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</si>
  <si>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</si>
  <si>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</si>
  <si>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</si>
  <si>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</si>
  <si>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</si>
  <si>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</si>
  <si>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</si>
  <si>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</si>
  <si>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</si>
  <si>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</si>
  <si>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</si>
  <si>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</si>
  <si>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</si>
  <si>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</si>
  <si>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</si>
  <si>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</si>
  <si>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</si>
  <si>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</si>
  <si>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</si>
  <si>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</si>
  <si>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</si>
  <si>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</si>
  <si>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</si>
  <si>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</si>
  <si>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</si>
  <si>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</si>
  <si>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</si>
  <si>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</si>
  <si>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</si>
  <si>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</si>
  <si>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</si>
  <si>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</si>
  <si>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</si>
  <si>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</si>
  <si>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</si>
  <si>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</si>
  <si>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</si>
  <si>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</si>
  <si>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</si>
  <si>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</si>
  <si>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</si>
  <si>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</si>
  <si>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</si>
  <si>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</si>
  <si>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</si>
  <si>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</si>
  <si>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</si>
  <si>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</si>
  <si>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</si>
  <si>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</si>
  <si>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</si>
  <si>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</si>
  <si>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</si>
  <si>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</si>
  <si>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</si>
  <si>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</si>
  <si>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</si>
  <si>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</si>
  <si>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</si>
  <si>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</si>
  <si>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</si>
  <si>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</si>
  <si>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</si>
  <si>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</si>
  <si>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</si>
  <si>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</si>
  <si>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</si>
  <si>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</si>
  <si>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</si>
  <si>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</si>
  <si>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</si>
  <si>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</si>
  <si>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</si>
  <si>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</si>
  <si>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</si>
  <si>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</si>
  <si>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</si>
  <si>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</si>
  <si>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</si>
  <si>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</si>
  <si>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</si>
  <si>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</si>
  <si>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</si>
  <si>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</si>
  <si>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</si>
  <si>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</si>
  <si>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</si>
  <si>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</si>
  <si>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</si>
  <si>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</si>
  <si>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</si>
  <si>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</si>
  <si>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</si>
  <si>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</si>
  <si>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</si>
  <si>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</si>
  <si>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</si>
  <si>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</si>
  <si>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</si>
  <si>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</si>
  <si>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</si>
  <si>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</si>
  <si>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</si>
  <si>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</si>
  <si>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</si>
  <si>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</si>
  <si>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</si>
  <si>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</si>
  <si>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</si>
  <si>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</si>
  <si>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</si>
  <si>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</si>
  <si>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</si>
  <si>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</si>
  <si>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</si>
  <si>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</si>
  <si>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</si>
  <si>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</si>
  <si>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</si>
  <si>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</si>
  <si>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</si>
  <si>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</si>
  <si>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</si>
  <si>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</si>
  <si>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</si>
  <si>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</si>
  <si>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</si>
  <si>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</si>
  <si>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</si>
  <si>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</si>
  <si>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</si>
  <si>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</si>
  <si>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</si>
  <si>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</si>
  <si>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</si>
  <si>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</si>
  <si>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</si>
  <si>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</si>
  <si>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</si>
  <si>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</si>
  <si>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</si>
  <si>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</si>
  <si>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</si>
  <si>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</si>
  <si>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</si>
  <si>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</si>
  <si>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</si>
  <si>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</si>
  <si>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</si>
  <si>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</si>
  <si>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</si>
  <si>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</si>
  <si>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</si>
  <si>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</si>
  <si>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</si>
  <si>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</si>
  <si>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</si>
  <si>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</si>
  <si>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</si>
  <si>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</si>
  <si>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</si>
  <si>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</si>
  <si>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</si>
  <si>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</si>
  <si>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</si>
  <si>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</si>
  <si>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</si>
  <si>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</si>
  <si>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</si>
  <si>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</si>
  <si>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</si>
  <si>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</si>
  <si>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</si>
  <si>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</si>
  <si>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</si>
  <si>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</si>
  <si>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</si>
  <si>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</si>
  <si>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</si>
  <si>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</si>
  <si>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</si>
  <si>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</si>
  <si>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</si>
  <si>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</si>
  <si>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</si>
  <si>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</si>
  <si>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</si>
  <si>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</si>
  <si>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</si>
  <si>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</si>
  <si>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</si>
  <si>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</si>
  <si>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</si>
  <si>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</si>
  <si>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</si>
  <si>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</si>
  <si>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</si>
  <si>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</si>
  <si>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</si>
  <si>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</si>
  <si>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</si>
  <si>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</si>
  <si>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</si>
  <si>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</si>
  <si>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</si>
  <si>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</si>
  <si>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</si>
  <si>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</si>
  <si>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</si>
  <si>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</si>
  <si>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</si>
  <si>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</si>
  <si>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</si>
  <si>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</si>
  <si>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</si>
  <si>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</si>
  <si>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</si>
  <si>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</si>
  <si>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</si>
  <si>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</si>
  <si>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</si>
  <si>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</si>
  <si>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</si>
  <si>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</si>
  <si>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</si>
  <si>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</si>
  <si>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</si>
  <si>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</si>
  <si>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</si>
  <si>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</si>
  <si>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</si>
  <si>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</si>
  <si>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</si>
  <si>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</si>
  <si>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</si>
  <si>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</si>
  <si>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</si>
  <si>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</si>
  <si>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</si>
  <si>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</si>
  <si>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</si>
  <si>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</si>
  <si>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</si>
  <si>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</si>
  <si>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</si>
  <si>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</si>
  <si>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</si>
  <si>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</si>
  <si>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</si>
  <si>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</si>
  <si>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</si>
  <si>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</si>
  <si>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</si>
  <si>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</si>
  <si>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</si>
  <si>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</si>
  <si>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</si>
  <si>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</si>
  <si>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</si>
  <si>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</si>
  <si>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</si>
  <si>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</si>
  <si>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</si>
  <si>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</si>
  <si>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</si>
  <si>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</si>
  <si>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</si>
  <si>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</si>
  <si>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</si>
  <si>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</si>
  <si>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</si>
  <si>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</si>
  <si>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</si>
  <si>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</si>
  <si>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</si>
  <si>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</si>
  <si>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</si>
  <si>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</si>
  <si>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</si>
  <si>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</si>
  <si>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</si>
  <si>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</si>
  <si>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</si>
  <si>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</si>
  <si>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</si>
  <si>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</si>
  <si>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</si>
  <si>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</si>
  <si>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</si>
  <si>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</si>
  <si>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</si>
  <si>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</si>
  <si>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</si>
  <si>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</si>
  <si>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</si>
  <si>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</si>
  <si>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</si>
  <si>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</si>
  <si>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</si>
  <si>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</si>
  <si>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</si>
  <si>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</si>
  <si>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</si>
  <si>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</si>
  <si>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</si>
  <si>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</si>
  <si>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</si>
  <si>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</si>
  <si>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</si>
  <si>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</si>
  <si>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</si>
  <si>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</si>
  <si>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</si>
  <si>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</si>
  <si>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</si>
  <si>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</si>
  <si>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</si>
  <si>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</si>
  <si>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</si>
  <si>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</si>
  <si>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</si>
  <si>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</si>
  <si>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</si>
  <si>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</si>
  <si>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</si>
  <si>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</si>
  <si>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</si>
  <si>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</si>
  <si>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</si>
  <si>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</si>
  <si>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</si>
  <si>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</si>
  <si>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</si>
  <si>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</si>
  <si>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</si>
  <si>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</si>
  <si>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</si>
  <si>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</si>
  <si>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</si>
  <si>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</si>
  <si>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</si>
  <si>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</si>
  <si>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</si>
  <si>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</si>
  <si>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</si>
  <si>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</si>
  <si>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</si>
  <si>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</si>
  <si>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</si>
  <si>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</si>
  <si>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</si>
  <si>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</si>
  <si>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</si>
  <si>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</si>
  <si>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</si>
  <si>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</si>
  <si>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</si>
  <si>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</si>
  <si>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</si>
  <si>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</si>
  <si>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</si>
  <si>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</si>
  <si>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</si>
  <si>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</si>
  <si>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</si>
  <si>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</si>
  <si>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</si>
  <si>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</si>
  <si>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</si>
  <si>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</si>
  <si>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</si>
  <si>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</si>
  <si>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</si>
  <si>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</si>
  <si>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</si>
  <si>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</si>
  <si>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</si>
  <si>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</si>
  <si>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</si>
  <si>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</si>
  <si>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</si>
  <si>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</si>
  <si>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</si>
  <si>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</si>
  <si>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</si>
  <si>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</si>
  <si>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</si>
  <si>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</si>
  <si>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</si>
  <si>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</si>
  <si>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</si>
  <si>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</si>
  <si>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</si>
  <si>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</si>
  <si>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</si>
  <si>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</si>
  <si>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</si>
  <si>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</si>
  <si>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</si>
  <si>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</si>
  <si>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</si>
  <si>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</si>
  <si>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</si>
  <si>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</si>
  <si>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</si>
  <si>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</si>
  <si>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</si>
  <si>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</si>
  <si>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</si>
  <si>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</si>
  <si>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</si>
  <si>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</si>
  <si>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</si>
  <si>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</si>
  <si>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</si>
  <si>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</si>
  <si>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</si>
  <si>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</si>
  <si>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</si>
  <si>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</si>
  <si>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</si>
  <si>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</si>
  <si>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</si>
  <si>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</si>
  <si>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</si>
  <si>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</si>
  <si>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</si>
  <si>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</si>
  <si>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</si>
  <si>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</si>
  <si>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</si>
  <si>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</si>
  <si>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</si>
  <si>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</si>
  <si>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</si>
  <si>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</si>
  <si>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</si>
  <si>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</si>
  <si>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</si>
  <si>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</si>
  <si>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</si>
  <si>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</si>
  <si>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</si>
  <si>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</si>
  <si>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</si>
  <si>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</si>
  <si>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</si>
  <si>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</si>
  <si>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</si>
  <si>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</si>
  <si>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</si>
  <si>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</si>
  <si>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</si>
  <si>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</si>
  <si>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</si>
  <si>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</si>
  <si>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</si>
  <si>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</si>
  <si>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</si>
  <si>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</si>
  <si>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</si>
  <si>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</si>
  <si>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</si>
  <si>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</si>
  <si>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</si>
  <si>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</si>
  <si>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</si>
  <si>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</si>
  <si>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</si>
  <si>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</si>
  <si>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</si>
  <si>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</si>
  <si>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</si>
  <si>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</si>
  <si>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</si>
  <si>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</si>
  <si>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</si>
  <si>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</si>
  <si>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</si>
  <si>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</si>
  <si>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</si>
  <si>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</si>
  <si>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</si>
  <si>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</si>
  <si>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</si>
  <si>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</si>
  <si>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</si>
  <si>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</si>
  <si>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</si>
  <si>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</si>
  <si>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</si>
  <si>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</si>
  <si>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</si>
  <si>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</si>
  <si>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</si>
  <si>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</si>
  <si>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</si>
  <si>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</si>
  <si>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</si>
  <si>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</si>
  <si>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</si>
  <si>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</si>
  <si>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</si>
  <si>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</si>
  <si>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</si>
  <si>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</si>
  <si>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</si>
  <si>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</si>
  <si>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</si>
  <si>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</si>
  <si>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</si>
  <si>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</si>
  <si>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</si>
  <si>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</si>
  <si>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</si>
  <si>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</si>
  <si>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</si>
  <si>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</si>
  <si>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</si>
  <si>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</si>
  <si>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</si>
  <si>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</si>
  <si>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</si>
  <si>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</si>
  <si>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</si>
  <si>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</si>
  <si>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</si>
  <si>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</si>
  <si>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</si>
  <si>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</si>
  <si>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</si>
  <si>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</si>
  <si>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</si>
  <si>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</si>
  <si>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</si>
  <si>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</si>
  <si>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</si>
  <si>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</si>
  <si>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</si>
  <si>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</si>
  <si>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</si>
  <si>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</si>
  <si>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</si>
  <si>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</si>
  <si>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</si>
  <si>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</si>
  <si>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</si>
  <si>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</si>
  <si>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</si>
  <si>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</si>
  <si>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</si>
  <si>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</si>
  <si>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</si>
  <si>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</si>
  <si>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</si>
  <si>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</si>
  <si>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</si>
  <si>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</si>
  <si>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</si>
  <si>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</si>
  <si>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</si>
  <si>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</si>
  <si>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</si>
  <si>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</si>
  <si>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</si>
  <si>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</si>
  <si>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</si>
  <si>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</si>
  <si>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</si>
  <si>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</si>
  <si>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</si>
  <si>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</si>
  <si>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</si>
  <si>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</si>
  <si>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</si>
  <si>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</si>
  <si>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</si>
  <si>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</si>
  <si>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</si>
  <si>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</si>
  <si>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</si>
  <si>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</si>
  <si>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</si>
  <si>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</si>
  <si>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</si>
  <si>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</si>
  <si>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</si>
  <si>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</si>
  <si>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</si>
  <si>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</si>
  <si>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</si>
  <si>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</si>
  <si>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</si>
  <si>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</si>
  <si>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</si>
  <si>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</si>
  <si>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</si>
  <si>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</si>
  <si>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</si>
  <si>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</si>
  <si>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</si>
  <si>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</si>
  <si>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</si>
  <si>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</si>
  <si>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</si>
  <si>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</si>
  <si>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</si>
  <si>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</si>
  <si>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</si>
  <si>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</si>
  <si>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</si>
  <si>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</si>
  <si>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</si>
  <si>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</si>
  <si>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</si>
  <si>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</si>
  <si>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</si>
  <si>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</si>
  <si>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</si>
  <si>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</si>
  <si>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</si>
  <si>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</si>
  <si>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</si>
  <si>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</si>
  <si>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</si>
  <si>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</si>
  <si>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</si>
  <si>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</si>
  <si>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</si>
  <si>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</si>
  <si>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</si>
  <si>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</si>
  <si>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</si>
  <si>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</si>
  <si>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</si>
  <si>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</si>
  <si>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</si>
  <si>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</si>
  <si>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</si>
  <si>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</si>
  <si>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</si>
  <si>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</si>
  <si>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</si>
  <si>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</si>
  <si>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</si>
  <si>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</si>
  <si>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</si>
  <si>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</si>
  <si>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</si>
  <si>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</si>
  <si>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</si>
  <si>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</si>
  <si>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</si>
  <si>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</si>
  <si>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</si>
  <si>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</si>
  <si>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</si>
  <si>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</si>
  <si>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</si>
  <si>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</si>
  <si>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</si>
  <si>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</si>
  <si>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</si>
  <si>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</si>
  <si>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</si>
  <si>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</si>
  <si>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</si>
  <si>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</si>
  <si>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</si>
  <si>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</si>
  <si>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</si>
  <si>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</si>
  <si>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</si>
  <si>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</si>
  <si>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</si>
  <si>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</si>
  <si>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</si>
  <si>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</si>
  <si>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</si>
  <si>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</si>
  <si>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</si>
  <si>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</si>
  <si>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</si>
  <si>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</si>
  <si>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</si>
  <si>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</si>
  <si>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</si>
  <si>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</si>
  <si>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</si>
  <si>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</si>
  <si>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</si>
  <si>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</si>
  <si>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</si>
  <si>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</si>
  <si>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</si>
  <si>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</si>
  <si>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</si>
  <si>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</si>
  <si>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</si>
  <si>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</si>
  <si>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</si>
  <si>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</si>
  <si>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</si>
  <si>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</si>
  <si>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</si>
  <si>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</si>
  <si>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</si>
  <si>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</si>
  <si>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</si>
  <si>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</si>
  <si>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</si>
  <si>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</si>
  <si>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</si>
  <si>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</si>
  <si>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</si>
  <si>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</si>
  <si>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</si>
  <si>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</si>
  <si>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</si>
  <si>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</si>
  <si>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</si>
  <si>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</si>
  <si>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</si>
  <si>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</si>
  <si>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</si>
  <si>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</si>
  <si>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</si>
  <si>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</si>
  <si>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</si>
  <si>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</si>
  <si>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</si>
  <si>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</si>
  <si>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</si>
  <si>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</si>
  <si>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</si>
  <si>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</si>
  <si>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</si>
  <si>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</si>
  <si>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</si>
  <si>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</si>
  <si>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</si>
  <si>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</si>
  <si>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</si>
  <si>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</si>
  <si>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</si>
  <si>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</si>
  <si>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</si>
  <si>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</si>
  <si>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</si>
  <si>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</si>
  <si>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</si>
  <si>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</si>
  <si>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</si>
  <si>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</si>
  <si>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</si>
  <si>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</si>
  <si>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</si>
  <si>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</si>
  <si>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</si>
  <si>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</si>
  <si>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</si>
  <si>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</si>
  <si>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</si>
  <si>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</si>
  <si>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</si>
  <si>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</si>
  <si>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</si>
  <si>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</si>
  <si>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</si>
  <si>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</si>
  <si>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</si>
  <si>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</si>
  <si>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</si>
  <si>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</si>
  <si>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</si>
  <si>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</si>
  <si>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</si>
  <si>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</si>
  <si>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</si>
  <si>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</si>
  <si>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</si>
  <si>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</si>
  <si>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</si>
  <si>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</si>
  <si>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</si>
  <si>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</si>
  <si>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</si>
  <si>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</si>
  <si>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</si>
  <si>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</si>
  <si>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</si>
  <si>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</si>
  <si>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</si>
  <si>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</si>
  <si>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</si>
  <si>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</si>
  <si>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</si>
  <si>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</si>
  <si>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</si>
  <si>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</si>
  <si>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</si>
  <si>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</si>
  <si>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</si>
  <si>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</si>
  <si>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</si>
  <si>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</si>
  <si>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</si>
  <si>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</si>
  <si>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</si>
  <si>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</si>
  <si>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</si>
  <si>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</si>
  <si>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</si>
  <si>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</si>
  <si>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</si>
  <si>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</si>
  <si>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</si>
  <si>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</si>
  <si>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</si>
  <si>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</si>
  <si>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</si>
  <si>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</si>
  <si>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</si>
  <si>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</si>
  <si>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</si>
  <si>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</si>
  <si>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</si>
  <si>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</si>
  <si>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</si>
  <si>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</si>
  <si>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</si>
  <si>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</si>
  <si>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</si>
  <si>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</si>
  <si>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</si>
  <si>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</si>
  <si>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</si>
  <si>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</si>
  <si>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</si>
  <si>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</si>
  <si>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</si>
  <si>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</si>
  <si>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</si>
  <si>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</si>
  <si>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</si>
  <si>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</si>
  <si>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</si>
  <si>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</si>
  <si>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</si>
  <si>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</si>
  <si>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</si>
  <si>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</si>
  <si>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</si>
  <si>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</si>
  <si>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</si>
  <si>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</si>
  <si>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</si>
  <si>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</si>
  <si>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</si>
  <si>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</si>
  <si>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</si>
  <si>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</si>
  <si>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</si>
  <si>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</si>
  <si>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</si>
  <si>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</si>
  <si>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</si>
  <si>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</si>
  <si>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</si>
  <si>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</si>
  <si>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</si>
  <si>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</si>
  <si>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</si>
  <si>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</si>
  <si>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</si>
  <si>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</si>
  <si>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</si>
  <si>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</si>
  <si>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</si>
  <si>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</si>
  <si>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</si>
  <si>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</si>
  <si>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</si>
  <si>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</si>
  <si>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</si>
  <si>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</si>
  <si>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</si>
  <si>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</si>
  <si>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</si>
  <si>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</si>
  <si>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</si>
  <si>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</si>
  <si>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</si>
  <si>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</si>
  <si>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</si>
  <si>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</si>
  <si>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</si>
  <si>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</si>
  <si>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</si>
  <si>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</si>
  <si>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</si>
  <si>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</si>
  <si>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</si>
  <si>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</si>
  <si>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</si>
  <si>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</si>
  <si>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</si>
  <si>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</si>
  <si>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</si>
  <si>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</si>
  <si>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</si>
  <si>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</si>
  <si>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</si>
  <si>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</si>
  <si>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</si>
  <si>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</si>
  <si>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</si>
  <si>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</si>
  <si>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</si>
  <si>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</si>
  <si>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</si>
  <si>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</si>
  <si>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</si>
  <si>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</si>
  <si>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</si>
  <si>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</si>
  <si>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</si>
  <si>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</si>
  <si>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</si>
  <si>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</si>
  <si>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</si>
  <si>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</si>
  <si>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</si>
  <si>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</si>
  <si>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</si>
  <si>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</si>
  <si>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</si>
  <si>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</si>
  <si>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</si>
  <si>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</si>
  <si>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</si>
  <si>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</si>
  <si>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</si>
  <si>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</si>
  <si>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</si>
  <si>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</si>
  <si>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</si>
  <si>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</si>
  <si>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</si>
  <si>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</si>
  <si>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</si>
  <si>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</si>
  <si>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</si>
  <si>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</si>
  <si>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</si>
  <si>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</si>
  <si>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</si>
  <si>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</si>
  <si>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</si>
  <si>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</si>
  <si>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</si>
  <si>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</si>
  <si>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</si>
  <si>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</si>
  <si>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</si>
  <si>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</si>
  <si>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</si>
  <si>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</si>
  <si>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</si>
  <si>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</si>
  <si>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</si>
  <si>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</si>
  <si>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</si>
  <si>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</si>
  <si>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</si>
  <si>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</si>
  <si>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</si>
  <si>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</si>
  <si>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</si>
  <si>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</si>
  <si>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</si>
  <si>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</si>
  <si>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</si>
  <si>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</si>
  <si>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</si>
  <si>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</si>
  <si>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</si>
  <si>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</si>
  <si>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</si>
  <si>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</si>
  <si>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</si>
  <si>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</si>
  <si>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</si>
  <si>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</si>
  <si>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</si>
  <si>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</si>
  <si>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</si>
  <si>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</si>
  <si>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</si>
  <si>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</si>
  <si>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</si>
  <si>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</si>
  <si>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</si>
  <si>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</si>
  <si>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</si>
  <si>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</si>
  <si>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</si>
  <si>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</si>
  <si>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</si>
  <si>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</si>
  <si>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</si>
  <si>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</si>
  <si>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</si>
  <si>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</si>
  <si>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</si>
  <si>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</si>
  <si>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</si>
  <si>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</si>
  <si>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</si>
  <si>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</si>
  <si>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</si>
  <si>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</si>
  <si>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</si>
  <si>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</si>
  <si>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</si>
  <si>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</si>
  <si>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</si>
  <si>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</si>
  <si>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</si>
  <si>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</si>
  <si>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</si>
  <si>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</si>
  <si>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</si>
  <si>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</si>
  <si>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</si>
  <si>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</si>
  <si>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</si>
  <si>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</si>
  <si>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</si>
  <si>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</si>
  <si>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</si>
  <si>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</si>
  <si>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</si>
  <si>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</si>
  <si>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</si>
  <si>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</si>
  <si>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</si>
  <si>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</si>
  <si>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</si>
  <si>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</si>
  <si>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</si>
  <si>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</si>
  <si>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</si>
  <si>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</si>
  <si>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</si>
  <si>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</si>
  <si>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</si>
  <si>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</si>
  <si>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</si>
  <si>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</si>
  <si>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</si>
  <si>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</si>
  <si>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</si>
  <si>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</si>
  <si>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</si>
  <si>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</si>
  <si>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</si>
  <si>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</si>
  <si>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</si>
  <si>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</si>
  <si>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</si>
  <si>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</si>
  <si>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</si>
  <si>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</si>
  <si>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</si>
  <si>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</si>
  <si>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</si>
  <si>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</si>
  <si>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</si>
  <si>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</si>
  <si>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</si>
  <si>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</si>
  <si>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</si>
  <si>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</si>
  <si>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</si>
  <si>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</si>
  <si>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</si>
  <si>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</si>
  <si>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</si>
  <si>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</si>
  <si>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</si>
  <si>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</si>
  <si>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</si>
  <si>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</si>
  <si>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</si>
  <si>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</si>
  <si>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</si>
  <si>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</si>
  <si>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</si>
  <si>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</si>
  <si>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</si>
  <si>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</si>
  <si>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</si>
  <si>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</si>
  <si>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</si>
  <si>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</si>
  <si>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</si>
  <si>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</si>
  <si>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</si>
  <si>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</si>
  <si>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</si>
  <si>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</si>
  <si>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</si>
  <si>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</si>
  <si>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</si>
  <si>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</si>
  <si>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</si>
  <si>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</si>
  <si>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</si>
  <si>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</si>
  <si>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</si>
  <si>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</si>
  <si>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</si>
  <si>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</si>
  <si>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</si>
  <si>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</si>
  <si>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</si>
  <si>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</si>
  <si>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</si>
  <si>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</si>
  <si>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</si>
  <si>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</si>
  <si>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</si>
  <si>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</si>
  <si>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</si>
  <si>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</si>
  <si>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</si>
  <si>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</si>
  <si>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</si>
  <si>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</si>
  <si>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</si>
  <si>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</si>
  <si>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</si>
  <si>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</si>
  <si>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</si>
  <si>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</si>
  <si>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</si>
  <si>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</si>
  <si>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</si>
  <si>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</si>
  <si>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</si>
  <si>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</si>
  <si>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</si>
  <si>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</si>
  <si>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</si>
  <si>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</si>
  <si>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</si>
  <si>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</si>
  <si>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</si>
  <si>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</si>
  <si>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</si>
  <si>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</si>
  <si>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</si>
  <si>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</si>
  <si>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</si>
  <si>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</si>
  <si>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</si>
  <si>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</si>
  <si>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</si>
  <si>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</si>
  <si>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</si>
  <si>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</si>
  <si>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</si>
  <si>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</si>
  <si>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</si>
  <si>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</si>
  <si>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</si>
  <si>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</si>
  <si>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</si>
  <si>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</si>
  <si>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</si>
  <si>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</si>
  <si>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</si>
  <si>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</si>
  <si>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</si>
  <si>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</si>
  <si>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</si>
  <si>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</si>
  <si>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</si>
  <si>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</si>
  <si>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</si>
  <si>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</si>
  <si>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</si>
  <si>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</si>
  <si>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</si>
  <si>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</si>
  <si>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</si>
  <si>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</si>
  <si>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</si>
  <si>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</si>
  <si>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</si>
  <si>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</si>
  <si>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</si>
  <si>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</si>
  <si>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</si>
  <si>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</si>
  <si>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</si>
  <si>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</si>
  <si>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</si>
  <si>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</si>
  <si>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</si>
  <si>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</si>
  <si>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</si>
  <si>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</si>
  <si>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</si>
  <si>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</si>
  <si>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</si>
  <si>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</si>
  <si>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</si>
  <si>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</si>
  <si>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</si>
  <si>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</si>
  <si>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</si>
  <si>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</si>
  <si>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</si>
  <si>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</si>
  <si>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</si>
  <si>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</si>
  <si>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</si>
  <si>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</si>
  <si>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</si>
  <si>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</si>
  <si>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</si>
  <si>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</si>
  <si>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</si>
  <si>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</si>
  <si>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</si>
  <si>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</si>
  <si>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</si>
  <si>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</si>
  <si>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</si>
  <si>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</si>
  <si>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</si>
  <si>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</si>
  <si>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</si>
  <si>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</si>
  <si>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</si>
  <si>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</si>
  <si>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</si>
  <si>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</si>
  <si>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</si>
  <si>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</si>
  <si>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</si>
  <si>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</si>
  <si>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</si>
  <si>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</si>
  <si>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</si>
  <si>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</si>
  <si>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</si>
  <si>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</si>
  <si>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</si>
  <si>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</si>
  <si>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</si>
  <si>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</si>
  <si>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</si>
  <si>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</si>
  <si>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</si>
  <si>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</si>
  <si>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</si>
  <si>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</si>
  <si>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</si>
  <si>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</si>
  <si>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</si>
  <si>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</si>
  <si>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</si>
  <si>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</si>
  <si>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</si>
  <si>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</si>
  <si>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</si>
  <si>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</si>
  <si>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</si>
  <si>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</si>
  <si>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</si>
  <si>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</si>
  <si>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</si>
  <si>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</si>
  <si>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</si>
  <si>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</si>
  <si>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</si>
  <si>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</si>
  <si>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</si>
  <si>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</si>
  <si>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</si>
  <si>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</si>
  <si>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</si>
  <si>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</si>
  <si>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</si>
  <si>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</si>
  <si>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</si>
  <si>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</si>
  <si>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</si>
  <si>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</si>
  <si>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</si>
  <si>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</si>
  <si>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</si>
  <si>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</si>
  <si>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</si>
  <si>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</si>
  <si>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</si>
  <si>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</si>
  <si>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</si>
  <si>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</si>
  <si>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</si>
  <si>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</si>
  <si>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</si>
  <si>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</si>
  <si>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</si>
  <si>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</si>
  <si>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</si>
  <si>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</si>
  <si>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</si>
  <si>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</si>
  <si>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</si>
  <si>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</si>
  <si>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</si>
  <si>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</si>
  <si>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</si>
  <si>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</si>
  <si>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</si>
  <si>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</si>
  <si>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</si>
  <si>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</si>
  <si>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</si>
  <si>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</si>
  <si>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</si>
  <si>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</si>
  <si>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</si>
  <si>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</si>
  <si>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</si>
  <si>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</si>
  <si>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</si>
  <si>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</si>
  <si>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</si>
  <si>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</si>
  <si>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</si>
  <si>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</si>
  <si>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</si>
  <si>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</si>
  <si>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</si>
  <si>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</si>
  <si>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</si>
  <si>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</si>
  <si>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</si>
  <si>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</si>
  <si>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</si>
  <si>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</si>
  <si>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</si>
  <si>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</si>
  <si>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</si>
  <si>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</si>
  <si>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</si>
  <si>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</si>
  <si>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</si>
  <si>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</si>
  <si>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</si>
  <si>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</si>
  <si>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</si>
  <si>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</si>
  <si>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</si>
  <si>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</si>
  <si>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</si>
  <si>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</si>
  <si>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</si>
  <si>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</si>
  <si>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</si>
  <si>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</si>
  <si>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</si>
  <si>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</si>
  <si>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</si>
  <si>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</si>
  <si>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</si>
  <si>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</si>
  <si>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</si>
  <si>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</si>
  <si>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</si>
  <si>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</si>
  <si>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</si>
  <si>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</si>
  <si>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</si>
  <si>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</si>
  <si>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</si>
  <si>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</si>
  <si>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</si>
  <si>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</si>
  <si>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</si>
  <si>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</si>
  <si>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</si>
  <si>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</si>
  <si>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</si>
  <si>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</si>
  <si>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</si>
  <si>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</si>
  <si>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</si>
  <si>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</si>
  <si>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</si>
  <si>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</si>
  <si>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</si>
  <si>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</si>
  <si>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</si>
  <si>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</si>
  <si>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</si>
  <si>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</si>
  <si>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</si>
  <si>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</si>
  <si>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</si>
  <si>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</si>
  <si>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</si>
  <si>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</si>
  <si>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</si>
  <si>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</si>
  <si>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</si>
  <si>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</si>
  <si>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</si>
  <si>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</si>
  <si>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</si>
  <si>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</si>
  <si>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</si>
  <si>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</si>
  <si>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</si>
  <si>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</si>
  <si>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</si>
  <si>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</si>
  <si>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</si>
  <si>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</si>
  <si>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</si>
  <si>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</si>
  <si>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</si>
  <si>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</si>
  <si>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</si>
  <si>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</si>
  <si>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</si>
  <si>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</si>
  <si>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</si>
  <si>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</si>
  <si>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</si>
  <si>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</si>
  <si>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</si>
  <si>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</si>
  <si>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</si>
  <si>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</si>
  <si>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</si>
  <si>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</si>
  <si>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</si>
  <si>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</si>
  <si>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</si>
  <si>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</si>
  <si>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</si>
  <si>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</si>
  <si>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</si>
  <si>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</si>
  <si>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</si>
  <si>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</si>
  <si>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</si>
  <si>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</si>
  <si>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</si>
  <si>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</si>
  <si>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</si>
  <si>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</si>
  <si>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</si>
  <si>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</si>
  <si>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</si>
  <si>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</si>
  <si>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</si>
  <si>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</si>
  <si>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</si>
  <si>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</si>
  <si>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</si>
  <si>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</si>
  <si>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</si>
  <si>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</si>
  <si>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</si>
  <si>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</si>
  <si>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</si>
  <si>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</si>
  <si>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</si>
  <si>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</si>
  <si>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</si>
  <si>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</si>
  <si>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</si>
  <si>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</si>
  <si>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</si>
  <si>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</si>
  <si>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</si>
  <si>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</si>
  <si>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</si>
  <si>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</si>
  <si>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</si>
  <si>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</si>
  <si>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</si>
  <si>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</si>
  <si>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</si>
  <si>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</si>
  <si>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</si>
  <si>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</si>
  <si>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</si>
  <si>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</si>
  <si>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</si>
  <si>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</si>
  <si>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</si>
  <si>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</si>
  <si>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</si>
  <si>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</si>
  <si>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</si>
  <si>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</si>
  <si>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</si>
  <si>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</si>
  <si>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</si>
  <si>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</si>
  <si>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</si>
  <si>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</si>
  <si>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</si>
  <si>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</si>
  <si>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</si>
  <si>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</si>
  <si>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</si>
  <si>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</si>
  <si>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</si>
  <si>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</si>
  <si>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</si>
  <si>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</si>
  <si>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</si>
  <si>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</si>
  <si>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</si>
  <si>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</si>
  <si>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</si>
  <si>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</si>
  <si>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</si>
  <si>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</si>
  <si>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</si>
  <si>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</si>
  <si>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</si>
  <si>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</si>
  <si>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</si>
  <si>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</si>
  <si>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</si>
  <si>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</si>
  <si>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</si>
  <si>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</si>
  <si>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</si>
  <si>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</si>
  <si>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</si>
  <si>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</si>
  <si>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</si>
  <si>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</si>
  <si>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</si>
  <si>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</si>
  <si>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</si>
  <si>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</si>
  <si>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</si>
  <si>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</si>
  <si>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</si>
  <si>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</si>
  <si>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</si>
  <si>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</si>
  <si>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</si>
  <si>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</si>
  <si>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</si>
  <si>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</si>
  <si>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</si>
  <si>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</si>
  <si>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</si>
  <si>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</si>
  <si>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</si>
  <si>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</si>
  <si>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</si>
  <si>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</si>
  <si>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</si>
  <si>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</si>
  <si>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</si>
  <si>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</si>
  <si>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</si>
  <si>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</si>
  <si>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</si>
  <si>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</si>
  <si>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</si>
  <si>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</si>
  <si>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</si>
  <si>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</si>
  <si>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</si>
  <si>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</si>
  <si>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</si>
  <si>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</si>
  <si>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</si>
  <si>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</si>
  <si>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</si>
  <si>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</si>
  <si>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</si>
  <si>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</si>
  <si>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</si>
  <si>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</si>
  <si>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</si>
  <si>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</si>
  <si>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</si>
  <si>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</si>
  <si>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</si>
  <si>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</si>
  <si>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</si>
  <si>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</si>
  <si>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</si>
  <si>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</si>
  <si>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</si>
  <si>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</si>
  <si>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</si>
  <si>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</si>
  <si>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</si>
  <si>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</si>
  <si>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</si>
  <si>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</si>
  <si>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</si>
  <si>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</si>
  <si>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</si>
  <si>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</si>
  <si>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</si>
  <si>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</si>
  <si>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</si>
  <si>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</si>
  <si>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</si>
  <si>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</si>
  <si>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</si>
  <si>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</si>
  <si>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</si>
  <si>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</si>
  <si>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</si>
  <si>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</si>
  <si>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</si>
  <si>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</si>
  <si>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</si>
  <si>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</si>
  <si>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</si>
  <si>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</si>
  <si>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</si>
  <si>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</si>
  <si>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</si>
  <si>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</si>
  <si>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</si>
  <si>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</si>
  <si>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</si>
  <si>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</si>
  <si>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</si>
  <si>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</si>
  <si>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</si>
  <si>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</si>
  <si>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</si>
  <si>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</si>
  <si>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</si>
  <si>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</si>
  <si>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</si>
  <si>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</si>
  <si>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</si>
  <si>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</si>
  <si>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</si>
  <si>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</si>
  <si>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</si>
  <si>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</si>
  <si>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</si>
  <si>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</si>
  <si>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</si>
  <si>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</si>
  <si>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</si>
  <si>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</si>
  <si>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</si>
  <si>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</si>
  <si>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</si>
  <si>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</si>
  <si>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</si>
  <si>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</si>
  <si>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</si>
  <si>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</si>
  <si>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</si>
  <si>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</si>
  <si>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</si>
  <si>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</si>
  <si>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</si>
  <si>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</si>
  <si>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</si>
  <si>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</si>
  <si>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</si>
  <si>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</si>
  <si>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</si>
  <si>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</si>
  <si>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</si>
  <si>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</si>
  <si>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</si>
  <si>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</si>
  <si>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</si>
  <si>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</si>
  <si>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</si>
  <si>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</si>
  <si>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</si>
  <si>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</si>
  <si>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</si>
  <si>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</si>
  <si>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</si>
  <si>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</si>
  <si>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</si>
  <si>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</si>
  <si>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</si>
  <si>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</si>
  <si>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</si>
  <si>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</si>
  <si>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</si>
  <si>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</si>
  <si>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</si>
  <si>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</si>
  <si>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</si>
  <si>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</si>
  <si>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</si>
  <si>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</si>
  <si>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</si>
  <si>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</si>
  <si>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</si>
  <si>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</si>
  <si>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</si>
  <si>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</si>
  <si>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</si>
  <si>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</si>
  <si>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</si>
  <si>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</si>
  <si>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</si>
  <si>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</si>
  <si>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</si>
  <si>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</si>
  <si>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</si>
  <si>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</si>
  <si>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</si>
  <si>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</si>
  <si>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</si>
  <si>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</si>
  <si>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</si>
  <si>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</si>
  <si>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</si>
  <si>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</si>
  <si>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</si>
  <si>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</si>
  <si>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</si>
  <si>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</si>
  <si>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</si>
  <si>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</si>
  <si>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</si>
  <si>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</si>
  <si>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</si>
  <si>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</si>
  <si>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</si>
  <si>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</si>
  <si>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</si>
  <si>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</si>
  <si>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</si>
  <si>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</si>
  <si>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</si>
  <si>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</si>
  <si>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</si>
  <si>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</si>
  <si>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</si>
  <si>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</si>
  <si>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</si>
  <si>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</si>
  <si>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</si>
  <si>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</si>
  <si>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</si>
  <si>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</si>
  <si>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</si>
  <si>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</si>
  <si>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</si>
  <si>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</si>
  <si>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</si>
  <si>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</si>
  <si>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</si>
  <si>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</si>
  <si>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</si>
  <si>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</si>
  <si>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</si>
  <si>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</si>
  <si>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</si>
  <si>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</si>
  <si>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</si>
  <si>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</si>
  <si>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</si>
  <si>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</si>
  <si>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</si>
  <si>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</si>
  <si>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</si>
  <si>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</si>
  <si>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</si>
  <si>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</si>
  <si>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</si>
  <si>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</si>
  <si>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</si>
  <si>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</si>
  <si>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</si>
  <si>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</si>
  <si>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</si>
  <si>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</si>
  <si>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</si>
  <si>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</si>
  <si>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</si>
  <si>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</si>
  <si>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</si>
  <si>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</si>
  <si>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</si>
  <si>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</si>
  <si>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</si>
  <si>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</si>
  <si>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</si>
  <si>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</si>
  <si>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</si>
  <si>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</si>
  <si>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</si>
  <si>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</si>
  <si>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</si>
  <si>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</si>
  <si>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</si>
  <si>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</si>
  <si>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</si>
  <si>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</si>
  <si>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</si>
  <si>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</si>
  <si>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</si>
  <si>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</si>
  <si>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</si>
  <si>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</si>
  <si>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</si>
  <si>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</si>
  <si>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</si>
  <si>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</si>
  <si>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</si>
  <si>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</si>
  <si>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</si>
  <si>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</si>
  <si>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</si>
  <si>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</si>
  <si>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</si>
  <si>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</si>
  <si>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</si>
  <si>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</si>
  <si>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</si>
  <si>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</si>
  <si>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</si>
  <si>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</si>
  <si>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</si>
  <si>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</si>
  <si>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</si>
  <si>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</si>
  <si>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</si>
  <si>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</si>
  <si>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</si>
  <si>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</si>
  <si>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</si>
  <si>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</si>
  <si>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</si>
  <si>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</si>
  <si>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</si>
  <si>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</si>
  <si>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</si>
  <si>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</si>
  <si>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</si>
  <si>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</si>
  <si>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</si>
  <si>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</si>
  <si>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</si>
  <si>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</si>
  <si>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</si>
  <si>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</si>
  <si>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</si>
  <si>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</si>
  <si>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</si>
  <si>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</si>
  <si>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</si>
  <si>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</si>
  <si>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</si>
  <si>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</si>
  <si>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</si>
  <si>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</si>
  <si>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</si>
  <si>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</si>
  <si>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</si>
  <si>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</si>
  <si>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</si>
  <si>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</si>
  <si>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</si>
  <si>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</si>
  <si>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</si>
  <si>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</si>
  <si>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</si>
  <si>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</si>
  <si>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</si>
  <si>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</si>
  <si>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</si>
  <si>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</si>
  <si>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</si>
  <si>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</si>
  <si>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</si>
  <si>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</si>
  <si>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</si>
  <si>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</si>
  <si>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</si>
  <si>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</si>
  <si>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</si>
  <si>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</si>
  <si>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</si>
  <si>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</si>
  <si>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</si>
  <si>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</si>
  <si>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</si>
  <si>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</si>
  <si>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</si>
  <si>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</si>
  <si>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</si>
  <si>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</si>
  <si>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</si>
  <si>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</si>
  <si>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</si>
  <si>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</si>
  <si>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</si>
  <si>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</si>
  <si>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</si>
  <si>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</si>
  <si>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</si>
  <si>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</si>
  <si>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</si>
  <si>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</si>
  <si>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</si>
  <si>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</si>
  <si>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</si>
  <si>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</si>
  <si>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</si>
  <si>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</si>
  <si>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</si>
  <si>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</si>
  <si>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</si>
  <si>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</si>
  <si>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</si>
  <si>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</si>
  <si>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</si>
  <si>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</si>
  <si>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</si>
  <si>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</si>
  <si>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</si>
  <si>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</si>
  <si>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</si>
  <si>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</si>
  <si>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</si>
  <si>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</si>
  <si>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</si>
  <si>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</si>
  <si>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</si>
  <si>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</si>
  <si>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</si>
  <si>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</si>
  <si>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</si>
  <si>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</si>
  <si>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</si>
  <si>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</si>
  <si>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</si>
  <si>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</si>
  <si>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</si>
  <si>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</si>
  <si>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</si>
  <si>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</si>
  <si>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</si>
  <si>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</si>
  <si>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</si>
  <si>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</si>
  <si>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</si>
  <si>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</si>
  <si>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</si>
  <si>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</si>
  <si>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</si>
  <si>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</si>
  <si>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</si>
  <si>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</si>
  <si>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</si>
  <si>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</si>
  <si>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</si>
  <si>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</si>
  <si>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</si>
  <si>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</si>
  <si>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</si>
  <si>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</si>
  <si>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</si>
  <si>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</si>
  <si>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</si>
  <si>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</si>
  <si>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</si>
  <si>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</si>
  <si>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</si>
  <si>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</si>
  <si>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</si>
  <si>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</si>
  <si>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</si>
  <si>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</si>
  <si>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</si>
  <si>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</si>
  <si>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</si>
  <si>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</si>
  <si>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</si>
  <si>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</si>
  <si>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</si>
  <si>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</si>
  <si>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</si>
  <si>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</si>
  <si>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</si>
  <si>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</si>
  <si>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</si>
  <si>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</si>
  <si>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</si>
  <si>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</si>
  <si>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</si>
  <si>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</si>
  <si>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</si>
  <si>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</si>
  <si>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</si>
  <si>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</si>
  <si>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</si>
  <si>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</si>
  <si>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</si>
  <si>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</si>
  <si>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</si>
  <si>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</si>
  <si>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</si>
  <si>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</si>
  <si>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</si>
  <si>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</si>
  <si>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</si>
  <si>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</si>
  <si>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</si>
  <si>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</si>
  <si>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</si>
  <si>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</si>
  <si>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</si>
  <si>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</si>
  <si>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</si>
  <si>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</si>
  <si>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</si>
  <si>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</si>
  <si>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</si>
  <si>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</si>
  <si>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</si>
  <si>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</si>
  <si>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</si>
  <si>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</si>
  <si>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</si>
  <si>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</si>
  <si>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</si>
  <si>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</si>
  <si>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</si>
  <si>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</si>
  <si>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</si>
  <si>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</si>
  <si>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</si>
  <si>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</si>
  <si>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</si>
  <si>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</si>
  <si>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</si>
  <si>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</si>
  <si>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</si>
  <si>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</si>
  <si>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</si>
  <si>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</si>
  <si>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</si>
  <si>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</si>
  <si>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</si>
  <si>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</si>
  <si>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</si>
  <si>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</si>
  <si>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</si>
  <si>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</si>
  <si>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</si>
  <si>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</si>
  <si>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</si>
  <si>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</si>
  <si>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</si>
  <si>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</si>
  <si>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</si>
  <si>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</si>
  <si>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</si>
  <si>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</si>
  <si>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</si>
  <si>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</si>
  <si>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</si>
  <si>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</si>
  <si>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</si>
  <si>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</si>
  <si>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</si>
  <si>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</si>
  <si>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</si>
  <si>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</si>
  <si>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</si>
  <si>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</si>
  <si>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</si>
  <si>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</si>
  <si>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</si>
  <si>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</si>
  <si>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</si>
  <si>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</si>
  <si>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</si>
  <si>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</si>
  <si>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</si>
  <si>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</si>
  <si>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</si>
  <si>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</si>
  <si>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</si>
  <si>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</si>
  <si>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</si>
  <si>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</si>
  <si>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</si>
  <si>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</si>
  <si>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</si>
  <si>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</si>
  <si>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</si>
  <si>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</si>
  <si>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</si>
  <si>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</si>
  <si>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</si>
  <si>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</si>
  <si>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</si>
  <si>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</si>
  <si>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</si>
  <si>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</si>
  <si>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</si>
  <si>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</si>
  <si>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</si>
  <si>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</si>
  <si>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</si>
  <si>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</si>
  <si>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</si>
  <si>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</si>
  <si>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</si>
  <si>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</si>
  <si>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</si>
  <si>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</si>
  <si>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</si>
  <si>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</si>
  <si>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</si>
  <si>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</si>
  <si>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</si>
  <si>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</si>
  <si>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</si>
  <si>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</si>
  <si>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</si>
  <si>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</si>
  <si>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</si>
  <si>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</si>
  <si>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</si>
  <si>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</si>
  <si>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</si>
  <si>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</si>
  <si>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</si>
  <si>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</si>
  <si>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</si>
  <si>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</si>
  <si>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</si>
  <si>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</si>
  <si>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</si>
  <si>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</si>
  <si>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</si>
  <si>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</si>
  <si>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</si>
  <si>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</si>
  <si>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</si>
  <si>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</si>
  <si>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</si>
  <si>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</si>
  <si>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</si>
  <si>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</si>
  <si>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</si>
  <si>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</si>
  <si>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</si>
  <si>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</si>
  <si>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</si>
  <si>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</si>
  <si>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</si>
  <si>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</si>
  <si>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</si>
  <si>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</si>
  <si>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</si>
  <si>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</si>
  <si>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</si>
  <si>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</si>
  <si>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</si>
  <si>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</si>
  <si>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</si>
  <si>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</si>
  <si>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</si>
  <si>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</si>
  <si>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</si>
  <si>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</si>
  <si>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</si>
  <si>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</si>
  <si>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</si>
  <si>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</si>
  <si>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</si>
  <si>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</si>
  <si>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</si>
  <si>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</si>
  <si>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</si>
  <si>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</si>
  <si>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</si>
  <si>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</si>
  <si>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</si>
  <si>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</si>
  <si>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</si>
  <si>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</si>
  <si>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</si>
  <si>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</si>
  <si>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</si>
  <si>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</si>
  <si>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</si>
  <si>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</si>
  <si>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</si>
  <si>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</si>
  <si>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</si>
  <si>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</si>
  <si>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</si>
  <si>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</si>
  <si>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</si>
  <si>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</si>
  <si>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</si>
  <si>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</si>
  <si>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</si>
  <si>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</si>
  <si>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</si>
  <si>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</si>
  <si>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</si>
  <si>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</si>
  <si>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</si>
  <si>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</si>
  <si>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</si>
  <si>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</si>
  <si>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</si>
  <si>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</si>
  <si>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</si>
  <si>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</si>
  <si>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</si>
  <si>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</si>
  <si>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</si>
  <si>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</si>
  <si>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</si>
  <si>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</si>
  <si>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</si>
  <si>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</si>
  <si>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</si>
  <si>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</si>
  <si>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</si>
  <si>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</si>
  <si>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</si>
  <si>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</si>
  <si>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</si>
  <si>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</si>
  <si>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</si>
  <si>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</si>
  <si>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</si>
  <si>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</si>
  <si>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</si>
  <si>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</si>
  <si>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</si>
  <si>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</si>
  <si>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</si>
  <si>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</si>
  <si>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</si>
  <si>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</si>
  <si>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</si>
  <si>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</si>
  <si>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</si>
  <si>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</si>
  <si>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</si>
  <si>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</si>
  <si>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</si>
  <si>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</si>
  <si>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</si>
  <si>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</si>
  <si>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</si>
  <si>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</si>
  <si>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</si>
  <si>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</si>
  <si>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</si>
  <si>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</si>
  <si>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</si>
  <si>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</si>
  <si>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</si>
  <si>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</si>
  <si>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</si>
  <si>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</si>
  <si>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</si>
  <si>
    <t>بدهی به مهدی 23/2/1398</t>
  </si>
  <si>
    <t>24/2/1398</t>
  </si>
  <si>
    <t>25/2/1398</t>
  </si>
  <si>
    <t>سارا 2 میلیون واریز کرد که بخشی سود زاگرس بود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</si>
</sst>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5018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4963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5042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5043</v>
      </c>
      <c r="B281" s="113">
        <v>-120632</v>
      </c>
      <c r="C281" s="99">
        <v>1</v>
      </c>
      <c r="D281" s="99">
        <f t="shared" ref="D281:D288" si="14">D282+C281</f>
        <v>10</v>
      </c>
      <c r="E281" s="99">
        <f t="shared" ref="E281:E288" si="15">IF(B282&gt;0,1,0)</f>
        <v>1</v>
      </c>
      <c r="F281" s="99">
        <f t="shared" ref="F281:F288" si="16">B282*(D281-E281)</f>
        <v>720000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5027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5032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5044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5031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5031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5039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5040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5049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R13" sqref="R1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7"/>
  <sheetViews>
    <sheetView tabSelected="1" topLeftCell="N178" zoomScaleNormal="100" workbookViewId="0">
      <selection activeCell="P192" sqref="P19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>
        <f>O22+324</f>
        <v>49260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2701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S90</f>
        <v>230</v>
      </c>
      <c r="T20" s="168" t="s">
        <v>4309</v>
      </c>
      <c r="U20" s="168">
        <v>192.1</v>
      </c>
      <c r="V20" s="168">
        <f t="shared" ref="V20:V57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530949434.86546654</v>
      </c>
      <c r="M21" s="168" t="s">
        <v>4301</v>
      </c>
      <c r="N21" s="113">
        <f t="shared" ref="N21:N24" si="9">O21*P21</f>
        <v>45121516.800000004</v>
      </c>
      <c r="O21" s="99">
        <v>229276</v>
      </c>
      <c r="P21" s="186">
        <f>P49</f>
        <v>196.8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186583180.80000001</v>
      </c>
      <c r="O22" s="99">
        <v>48936</v>
      </c>
      <c r="P22" s="186">
        <f>P43</f>
        <v>3812.8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112750416.59999999</v>
      </c>
      <c r="O23" s="99">
        <v>159297</v>
      </c>
      <c r="P23" s="186">
        <f>P47</f>
        <v>707.8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484445387.86546654</v>
      </c>
      <c r="G24" s="95">
        <f t="shared" si="0"/>
        <v>-204139042.4835279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46524725</v>
      </c>
      <c r="O24" s="99">
        <v>9250</v>
      </c>
      <c r="P24" s="99">
        <f>P46</f>
        <v>5029.7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5648353.0999999996</v>
      </c>
      <c r="O27" s="69">
        <v>1123</v>
      </c>
      <c r="P27" s="99">
        <f>P46</f>
        <v>5029.7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5162531.2</v>
      </c>
      <c r="O28" s="69">
        <v>1354</v>
      </c>
      <c r="P28" s="99">
        <f>P43</f>
        <v>3812.8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681611.39999999991</v>
      </c>
      <c r="O29" s="69">
        <v>963</v>
      </c>
      <c r="P29" s="99">
        <f>P47</f>
        <v>707.8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25809729.600000001</v>
      </c>
      <c r="O30" s="69">
        <v>131147</v>
      </c>
      <c r="P30" s="99">
        <f>P49</f>
        <v>196.8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-S168</f>
        <v>-530949434.86546654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7" si="14">V34*(1+$W$19/100)</f>
        <v>3390.8392635616437</v>
      </c>
      <c r="X34" s="32">
        <f t="shared" ref="X34:X57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15300000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5066</v>
      </c>
      <c r="L41" s="117">
        <v>-800000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181012680</v>
      </c>
      <c r="O43" s="99">
        <v>47475</v>
      </c>
      <c r="P43" s="99">
        <v>3812.8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849800</v>
      </c>
      <c r="O44" s="69">
        <v>2000</v>
      </c>
      <c r="P44" s="69">
        <v>424.9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64329.999999999993</v>
      </c>
      <c r="O45" s="69">
        <v>50</v>
      </c>
      <c r="P45" s="69">
        <v>1286.5999999999999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167177168.59999999</v>
      </c>
      <c r="O46" s="69">
        <v>33238</v>
      </c>
      <c r="P46" s="69">
        <v>5029.7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75617813</v>
      </c>
      <c r="O47" s="69">
        <v>106835</v>
      </c>
      <c r="P47" s="69">
        <v>707.8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5242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264995923.20000002</v>
      </c>
      <c r="O49" s="99">
        <v>1346524</v>
      </c>
      <c r="P49" s="99">
        <v>196.8</v>
      </c>
      <c r="Q49" s="169">
        <v>15011877</v>
      </c>
      <c r="R49" s="215" t="s">
        <v>5031</v>
      </c>
      <c r="S49" s="198">
        <f>S48-3</f>
        <v>3</v>
      </c>
      <c r="T49" s="215" t="s">
        <v>5037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510000</v>
      </c>
      <c r="Q50" s="169">
        <v>34988328</v>
      </c>
      <c r="R50" s="215" t="s">
        <v>5031</v>
      </c>
      <c r="S50" s="198">
        <f>S49</f>
        <v>3</v>
      </c>
      <c r="T50" s="215" t="s">
        <v>5038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5040</v>
      </c>
      <c r="S51" s="198">
        <f>S50-4</f>
        <v>-1</v>
      </c>
      <c r="T51" s="215" t="s">
        <v>5041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5049</v>
      </c>
      <c r="S52" s="198">
        <f>S51-1</f>
        <v>-2</v>
      </c>
      <c r="T52" s="215" t="s">
        <v>5056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5053</v>
      </c>
      <c r="S53" s="198">
        <f>S52</f>
        <v>-2</v>
      </c>
      <c r="T53" s="215" t="s">
        <v>5057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5054</v>
      </c>
      <c r="S54" s="198">
        <f>S53</f>
        <v>-2</v>
      </c>
      <c r="T54" s="215" t="s">
        <v>5058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-10566979.200000001</v>
      </c>
      <c r="O55" s="99">
        <v>53694</v>
      </c>
      <c r="P55" s="99">
        <f>P49</f>
        <v>196.8</v>
      </c>
      <c r="Q55" s="169">
        <v>12803120</v>
      </c>
      <c r="R55" s="215" t="s">
        <v>5055</v>
      </c>
      <c r="S55" s="198">
        <f>S54</f>
        <v>-2</v>
      </c>
      <c r="T55" s="215" t="s">
        <v>5059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5060</v>
      </c>
      <c r="S56" s="198">
        <f>S55-1</f>
        <v>-3</v>
      </c>
      <c r="T56" s="215" t="s">
        <v>5062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-S169</f>
        <v>-16948340.984387279</v>
      </c>
      <c r="Q58" s="169">
        <f>SUM(N21:N24)-SUM(Q20:Q57)</f>
        <v>46272057.200000048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25500000</v>
      </c>
      <c r="P59" t="s">
        <v>25</v>
      </c>
      <c r="R59" s="115"/>
      <c r="S59" s="115" t="s">
        <v>25</v>
      </c>
      <c r="T59" s="115"/>
      <c r="U59" s="115" t="s">
        <v>25</v>
      </c>
      <c r="V59" s="115"/>
      <c r="W59" s="195"/>
      <c r="X59" s="195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96"/>
      <c r="R60" s="115"/>
      <c r="S60" s="115"/>
      <c r="T60" s="115" t="s">
        <v>25</v>
      </c>
      <c r="U60" s="115" t="s">
        <v>25</v>
      </c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484445387.86546654</v>
      </c>
      <c r="M61" s="168"/>
      <c r="N61" s="113">
        <f>SUM(N16:N60)</f>
        <v>540241445.25014639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647077</v>
      </c>
      <c r="M62" s="168"/>
      <c r="N62" s="113">
        <f>N16+N17+N34</f>
        <v>641053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 t="s">
        <v>716</v>
      </c>
      <c r="L63" s="1">
        <f>L61+N7</f>
        <v>554445387.86546659</v>
      </c>
      <c r="M63" s="113"/>
      <c r="N63" s="168"/>
      <c r="O63" s="115"/>
      <c r="P63" s="115"/>
      <c r="Q63" s="168">
        <v>0</v>
      </c>
      <c r="R63" s="168" t="s">
        <v>4172</v>
      </c>
      <c r="S63" s="168">
        <f>S90</f>
        <v>230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O64" s="96"/>
      <c r="P64" s="96"/>
      <c r="Q64" s="169">
        <v>863944</v>
      </c>
      <c r="R64" s="168" t="s">
        <v>4438</v>
      </c>
      <c r="S64" s="168">
        <f>S63-62</f>
        <v>168</v>
      </c>
      <c r="T64" s="191" t="s">
        <v>4510</v>
      </c>
      <c r="U64" s="168">
        <v>184.6</v>
      </c>
      <c r="V64" s="168">
        <f t="shared" ref="V64:V81" si="17">U64*(1+$N$81+$Q$15*S64/36500)</f>
        <v>210.4581610958904</v>
      </c>
      <c r="W64" s="32">
        <f t="shared" ref="W64:W81" si="18">V64*(1+$W$19/100)</f>
        <v>214.66732431780821</v>
      </c>
      <c r="X64" s="32">
        <f t="shared" ref="X64:X81" si="19">V64*(1+$X$19/100)</f>
        <v>218.87648753972601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9">
        <v>1692313</v>
      </c>
      <c r="R65" s="168" t="s">
        <v>4513</v>
      </c>
      <c r="S65" s="198">
        <f>S64-21</f>
        <v>147</v>
      </c>
      <c r="T65" s="190" t="s">
        <v>4514</v>
      </c>
      <c r="U65" s="168">
        <v>168.5</v>
      </c>
      <c r="V65" s="168">
        <f t="shared" si="17"/>
        <v>189.38846027397261</v>
      </c>
      <c r="W65" s="32">
        <f t="shared" si="18"/>
        <v>193.17622947945208</v>
      </c>
      <c r="X65" s="32">
        <f t="shared" si="19"/>
        <v>196.96399868493151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101153</v>
      </c>
      <c r="R66" s="168" t="s">
        <v>4516</v>
      </c>
      <c r="S66" s="198">
        <f>S65-1</f>
        <v>146</v>
      </c>
      <c r="T66" s="190" t="s">
        <v>4518</v>
      </c>
      <c r="U66" s="168">
        <v>166.7</v>
      </c>
      <c r="V66" s="168">
        <f t="shared" si="17"/>
        <v>187.23744000000002</v>
      </c>
      <c r="W66" s="32">
        <f t="shared" si="18"/>
        <v>190.98218880000002</v>
      </c>
      <c r="X66" s="32">
        <f t="shared" si="19"/>
        <v>194.72693760000004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183105</v>
      </c>
      <c r="R67" s="168" t="s">
        <v>4231</v>
      </c>
      <c r="S67" s="198">
        <f>S66-1</f>
        <v>145</v>
      </c>
      <c r="T67" s="190" t="s">
        <v>4522</v>
      </c>
      <c r="U67" s="168">
        <v>166.6</v>
      </c>
      <c r="V67" s="168">
        <f t="shared" si="17"/>
        <v>186.99731726027397</v>
      </c>
      <c r="W67" s="32">
        <f t="shared" si="18"/>
        <v>190.73726360547946</v>
      </c>
      <c r="X67" s="32">
        <f t="shared" si="19"/>
        <v>194.47720995068494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5731900</v>
      </c>
      <c r="Q68" s="169">
        <v>168846</v>
      </c>
      <c r="R68" s="168" t="s">
        <v>3691</v>
      </c>
      <c r="S68" s="198">
        <f>S67-30</f>
        <v>115</v>
      </c>
      <c r="T68" s="190" t="s">
        <v>4621</v>
      </c>
      <c r="U68" s="168">
        <v>172.2</v>
      </c>
      <c r="V68" s="168">
        <f t="shared" si="17"/>
        <v>189.31998246575341</v>
      </c>
      <c r="W68" s="32">
        <f t="shared" si="18"/>
        <v>193.10638211506847</v>
      </c>
      <c r="X68" s="32">
        <f t="shared" si="19"/>
        <v>196.89278176438356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250962</v>
      </c>
      <c r="R69" s="168" t="s">
        <v>4663</v>
      </c>
      <c r="S69" s="198">
        <f>S68-10</f>
        <v>105</v>
      </c>
      <c r="T69" s="190" t="s">
        <v>4664</v>
      </c>
      <c r="U69" s="168">
        <v>5315.5</v>
      </c>
      <c r="V69" s="168">
        <f t="shared" si="17"/>
        <v>5803.1862027397265</v>
      </c>
      <c r="W69" s="32">
        <f t="shared" si="18"/>
        <v>5919.2499267945213</v>
      </c>
      <c r="X69" s="32">
        <f t="shared" si="19"/>
        <v>6035.3136508493153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352231</v>
      </c>
      <c r="R70" s="215" t="s">
        <v>4704</v>
      </c>
      <c r="S70" s="198">
        <f>S69-7</f>
        <v>98</v>
      </c>
      <c r="T70" s="190" t="s">
        <v>4706</v>
      </c>
      <c r="U70" s="215">
        <v>502.3</v>
      </c>
      <c r="V70" s="215">
        <f t="shared" si="17"/>
        <v>545.68771068493163</v>
      </c>
      <c r="W70" s="32">
        <f t="shared" si="18"/>
        <v>556.6014648986303</v>
      </c>
      <c r="X70" s="32">
        <f t="shared" si="19"/>
        <v>567.51521911232896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165067</v>
      </c>
      <c r="R71" s="215" t="s">
        <v>4749</v>
      </c>
      <c r="S71" s="198">
        <f>S70-16</f>
        <v>82</v>
      </c>
      <c r="T71" s="190" t="s">
        <v>4754</v>
      </c>
      <c r="U71" s="215">
        <v>3095.9</v>
      </c>
      <c r="V71" s="215">
        <f t="shared" si="17"/>
        <v>3325.3189128767126</v>
      </c>
      <c r="W71" s="32">
        <f t="shared" si="18"/>
        <v>3391.825291134247</v>
      </c>
      <c r="X71" s="32">
        <f t="shared" si="19"/>
        <v>3458.3316693917814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115911</v>
      </c>
      <c r="R72" s="215" t="s">
        <v>981</v>
      </c>
      <c r="S72" s="198">
        <f>S71-29</f>
        <v>53</v>
      </c>
      <c r="T72" s="190" t="s">
        <v>4902</v>
      </c>
      <c r="U72" s="215">
        <v>3605.5</v>
      </c>
      <c r="V72" s="215">
        <f t="shared" si="17"/>
        <v>3792.4723397260277</v>
      </c>
      <c r="W72" s="32">
        <f t="shared" si="18"/>
        <v>3868.3217865205484</v>
      </c>
      <c r="X72" s="32">
        <f t="shared" si="19"/>
        <v>3944.171233315069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3792615</v>
      </c>
      <c r="R73" s="5" t="s">
        <v>4920</v>
      </c>
      <c r="S73" s="198">
        <f>S72-12</f>
        <v>41</v>
      </c>
      <c r="T73" s="190" t="s">
        <v>4923</v>
      </c>
      <c r="U73" s="215">
        <v>3775.1</v>
      </c>
      <c r="V73" s="215">
        <f t="shared" si="17"/>
        <v>3936.1157720547949</v>
      </c>
      <c r="W73" s="32">
        <f t="shared" si="18"/>
        <v>4014.8380874958907</v>
      </c>
      <c r="X73" s="32">
        <f t="shared" si="19"/>
        <v>4093.560402936987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6278475</v>
      </c>
      <c r="R74" s="5" t="s">
        <v>4920</v>
      </c>
      <c r="S74" s="198">
        <f>S73</f>
        <v>41</v>
      </c>
      <c r="T74" s="190" t="s">
        <v>4924</v>
      </c>
      <c r="U74" s="215">
        <v>6250.1</v>
      </c>
      <c r="V74" s="215">
        <f t="shared" si="17"/>
        <v>6516.6796076712335</v>
      </c>
      <c r="W74" s="32">
        <f t="shared" si="18"/>
        <v>6647.0131998246579</v>
      </c>
      <c r="X74" s="32">
        <f t="shared" si="19"/>
        <v>6777.3467919780833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1653253</v>
      </c>
      <c r="N75" s="113">
        <f>M75*P49</f>
        <v>325360190.40000004</v>
      </c>
      <c r="P75" s="115"/>
      <c r="Q75" s="169">
        <v>19918023</v>
      </c>
      <c r="R75" s="5" t="s">
        <v>4920</v>
      </c>
      <c r="S75" s="198">
        <f>S74</f>
        <v>41</v>
      </c>
      <c r="T75" s="190" t="s">
        <v>4925</v>
      </c>
      <c r="U75" s="215">
        <v>183</v>
      </c>
      <c r="V75" s="215">
        <f t="shared" si="17"/>
        <v>190.80532602739729</v>
      </c>
      <c r="W75" s="32">
        <f t="shared" si="18"/>
        <v>194.62143254794523</v>
      </c>
      <c r="X75" s="32">
        <f t="shared" si="19"/>
        <v>198.43753906849318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168390</v>
      </c>
      <c r="R76" s="19" t="s">
        <v>4957</v>
      </c>
      <c r="S76" s="198">
        <f>S75-14</f>
        <v>27</v>
      </c>
      <c r="T76" s="190" t="s">
        <v>4959</v>
      </c>
      <c r="U76" s="215">
        <v>632.5</v>
      </c>
      <c r="V76" s="215">
        <f t="shared" si="17"/>
        <v>652.68454794520562</v>
      </c>
      <c r="W76" s="32">
        <f t="shared" si="18"/>
        <v>665.73823890410972</v>
      </c>
      <c r="X76" s="32">
        <f t="shared" si="19"/>
        <v>678.79192986301382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466781</v>
      </c>
      <c r="R77" s="19" t="s">
        <v>5020</v>
      </c>
      <c r="S77" s="198">
        <f>S76-16</f>
        <v>11</v>
      </c>
      <c r="T77" s="190" t="s">
        <v>5021</v>
      </c>
      <c r="U77" s="215">
        <v>4005.4</v>
      </c>
      <c r="V77" s="215">
        <f t="shared" si="17"/>
        <v>4084.0594717808222</v>
      </c>
      <c r="W77" s="32">
        <f t="shared" si="18"/>
        <v>4165.7406612164386</v>
      </c>
      <c r="X77" s="32">
        <f t="shared" si="19"/>
        <v>4247.4218506520556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1200301</v>
      </c>
      <c r="R78" s="19" t="s">
        <v>5027</v>
      </c>
      <c r="S78" s="198">
        <f>S77-4</f>
        <v>7</v>
      </c>
      <c r="T78" s="190" t="s">
        <v>5029</v>
      </c>
      <c r="U78" s="215">
        <v>218.5</v>
      </c>
      <c r="V78" s="215">
        <f t="shared" si="17"/>
        <v>222.12051506849318</v>
      </c>
      <c r="W78" s="32">
        <f t="shared" si="18"/>
        <v>226.56292536986305</v>
      </c>
      <c r="X78" s="32">
        <f t="shared" si="19"/>
        <v>231.0053356712329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358780</v>
      </c>
      <c r="R79" s="19" t="s">
        <v>5049</v>
      </c>
      <c r="S79" s="198">
        <f>S78-8</f>
        <v>-1</v>
      </c>
      <c r="T79" s="190" t="s">
        <v>5050</v>
      </c>
      <c r="U79" s="215">
        <v>3607.3</v>
      </c>
      <c r="V79" s="215">
        <f t="shared" si="17"/>
        <v>3644.9345161643846</v>
      </c>
      <c r="W79" s="32">
        <f t="shared" si="18"/>
        <v>3717.8332064876722</v>
      </c>
      <c r="X79" s="32">
        <f t="shared" si="19"/>
        <v>3790.7318968109603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349201</v>
      </c>
      <c r="R80" s="19" t="s">
        <v>5049</v>
      </c>
      <c r="S80" s="198">
        <f>S79</f>
        <v>-1</v>
      </c>
      <c r="T80" s="190" t="s">
        <v>5051</v>
      </c>
      <c r="U80" s="215">
        <v>4574</v>
      </c>
      <c r="V80" s="215">
        <f t="shared" si="17"/>
        <v>4621.7199780821929</v>
      </c>
      <c r="W80" s="32">
        <f t="shared" si="18"/>
        <v>4714.1543776438366</v>
      </c>
      <c r="X80" s="32">
        <f t="shared" si="19"/>
        <v>4806.5887772054812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/>
      <c r="R81" s="168"/>
      <c r="S81" s="113"/>
      <c r="T81" s="113"/>
      <c r="U81" s="168"/>
      <c r="V81" s="168">
        <f t="shared" si="17"/>
        <v>0</v>
      </c>
      <c r="W81" s="32">
        <f t="shared" si="18"/>
        <v>0</v>
      </c>
      <c r="X81" s="32">
        <f t="shared" si="19"/>
        <v>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13">
        <f>SUM(N27:N30)-SUM(Q63:Q81)</f>
        <v>876127.30000000447</v>
      </c>
      <c r="R82" s="168"/>
      <c r="S82" s="168"/>
      <c r="T82" s="168"/>
      <c r="U82" s="168"/>
      <c r="V82" s="168"/>
      <c r="W82" s="32"/>
      <c r="X82" s="32"/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R83" s="115"/>
      <c r="S83" s="115"/>
      <c r="T83" s="115" t="s">
        <v>25</v>
      </c>
      <c r="U83" s="115"/>
      <c r="V83" s="115"/>
      <c r="W83" s="195" t="s">
        <v>25</v>
      </c>
      <c r="X83" s="195"/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t="s">
        <v>25</v>
      </c>
      <c r="S84" s="26" t="s">
        <v>25</v>
      </c>
      <c r="T84" t="s">
        <v>25</v>
      </c>
      <c r="U84" s="96" t="s">
        <v>25</v>
      </c>
      <c r="V84" s="115" t="s">
        <v>25</v>
      </c>
      <c r="W84" s="195" t="s">
        <v>25</v>
      </c>
      <c r="X84" s="195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Q85" t="s">
        <v>25</v>
      </c>
      <c r="T85" t="s">
        <v>25</v>
      </c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T86" t="s">
        <v>25</v>
      </c>
      <c r="U86" s="96" t="s">
        <v>25</v>
      </c>
      <c r="V86" t="s">
        <v>25</v>
      </c>
      <c r="W86" s="195"/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W87" s="195"/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 ht="30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Q88" s="73" t="s">
        <v>4295</v>
      </c>
      <c r="R88" s="112"/>
      <c r="S88" s="112"/>
      <c r="T88" s="112"/>
      <c r="U88" s="168" t="s">
        <v>4363</v>
      </c>
      <c r="V88" s="36" t="s">
        <v>4365</v>
      </c>
      <c r="W88" s="32"/>
      <c r="X88" s="32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Q89" s="112" t="s">
        <v>267</v>
      </c>
      <c r="R89" s="112" t="s">
        <v>180</v>
      </c>
      <c r="S89" s="112" t="s">
        <v>183</v>
      </c>
      <c r="T89" s="112" t="s">
        <v>8</v>
      </c>
      <c r="U89" s="168"/>
      <c r="V89" s="99"/>
      <c r="W89" s="32">
        <v>2</v>
      </c>
      <c r="X89" s="32">
        <v>4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184971545</v>
      </c>
      <c r="R90" s="5" t="s">
        <v>4172</v>
      </c>
      <c r="S90" s="5">
        <v>230</v>
      </c>
      <c r="T90" s="5" t="s">
        <v>4346</v>
      </c>
      <c r="U90" s="168">
        <v>192</v>
      </c>
      <c r="V90" s="99">
        <f t="shared" ref="V90:V121" si="22">U90*(1+$N$81+$Q$15*S90/36500)</f>
        <v>228.02656438356166</v>
      </c>
      <c r="W90" s="32">
        <f t="shared" ref="W90:W110" si="23">V90*(1+$W$19/100)</f>
        <v>232.5870956712329</v>
      </c>
      <c r="X90" s="32">
        <f t="shared" ref="X90:X110" si="24">V90*(1+$X$19/100)</f>
        <v>237.14762695890414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35">
        <v>9560464</v>
      </c>
      <c r="R91" s="5" t="s">
        <v>4299</v>
      </c>
      <c r="S91" s="5">
        <f>S90-31</f>
        <v>199</v>
      </c>
      <c r="T91" s="5" t="s">
        <v>4312</v>
      </c>
      <c r="U91" s="168">
        <v>214.57</v>
      </c>
      <c r="V91" s="99">
        <f t="shared" si="22"/>
        <v>249.7289111232877</v>
      </c>
      <c r="W91" s="32">
        <f t="shared" si="23"/>
        <v>254.72348934575345</v>
      </c>
      <c r="X91" s="32">
        <f t="shared" si="24"/>
        <v>259.71806756821923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2000000</v>
      </c>
      <c r="R92" s="5" t="s">
        <v>4342</v>
      </c>
      <c r="S92" s="5">
        <f>S91-11</f>
        <v>188</v>
      </c>
      <c r="T92" s="5" t="s">
        <v>4345</v>
      </c>
      <c r="U92" s="168">
        <v>206.8</v>
      </c>
      <c r="V92" s="99">
        <f t="shared" si="22"/>
        <v>238.94068602739728</v>
      </c>
      <c r="W92" s="32">
        <f t="shared" si="23"/>
        <v>243.71949974794524</v>
      </c>
      <c r="X92" s="32">
        <f t="shared" si="24"/>
        <v>248.49831346849317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1429825</v>
      </c>
      <c r="R93" s="5" t="s">
        <v>4372</v>
      </c>
      <c r="S93" s="5">
        <f>S92-7</f>
        <v>181</v>
      </c>
      <c r="T93" s="5" t="s">
        <v>4381</v>
      </c>
      <c r="U93" s="168">
        <v>203.9</v>
      </c>
      <c r="V93" s="99">
        <f t="shared" si="22"/>
        <v>234.49505534246578</v>
      </c>
      <c r="W93" s="32">
        <f t="shared" si="23"/>
        <v>239.18495644931511</v>
      </c>
      <c r="X93" s="32">
        <f t="shared" si="24"/>
        <v>243.87485755616441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1420747</v>
      </c>
      <c r="R94" s="5" t="s">
        <v>4372</v>
      </c>
      <c r="S94" s="5">
        <f>S93</f>
        <v>181</v>
      </c>
      <c r="T94" s="5" t="s">
        <v>4383</v>
      </c>
      <c r="U94" s="168">
        <v>203.1</v>
      </c>
      <c r="V94" s="99">
        <f t="shared" si="22"/>
        <v>233.57501589041095</v>
      </c>
      <c r="W94" s="32">
        <f t="shared" si="23"/>
        <v>238.24651620821916</v>
      </c>
      <c r="X94" s="32">
        <f t="shared" si="24"/>
        <v>242.9180165260274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2412371</v>
      </c>
      <c r="R95" s="5" t="s">
        <v>4374</v>
      </c>
      <c r="S95" s="5">
        <f>S94-1</f>
        <v>180</v>
      </c>
      <c r="T95" s="5" t="s">
        <v>4390</v>
      </c>
      <c r="U95" s="168">
        <v>3930</v>
      </c>
      <c r="V95" s="99">
        <f t="shared" si="22"/>
        <v>4516.6790136986301</v>
      </c>
      <c r="W95" s="32">
        <f t="shared" si="23"/>
        <v>4607.0125939726031</v>
      </c>
      <c r="X95" s="32">
        <f t="shared" si="24"/>
        <v>4697.3461742465752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2010885</v>
      </c>
      <c r="R96" s="5" t="s">
        <v>4393</v>
      </c>
      <c r="S96" s="5">
        <f>S95-2</f>
        <v>178</v>
      </c>
      <c r="T96" s="5" t="s">
        <v>4399</v>
      </c>
      <c r="U96" s="168">
        <v>202.1</v>
      </c>
      <c r="V96" s="99">
        <f t="shared" si="22"/>
        <v>231.95985972602739</v>
      </c>
      <c r="W96" s="32">
        <f t="shared" si="23"/>
        <v>236.59905692054795</v>
      </c>
      <c r="X96" s="32">
        <f t="shared" si="24"/>
        <v>241.23825411506849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1994038</v>
      </c>
      <c r="R97" s="5" t="s">
        <v>4404</v>
      </c>
      <c r="S97" s="5">
        <f>S96-3</f>
        <v>175</v>
      </c>
      <c r="T97" s="5" t="s">
        <v>4420</v>
      </c>
      <c r="U97" s="168">
        <v>5560.3</v>
      </c>
      <c r="V97" s="99">
        <f t="shared" si="22"/>
        <v>6369.026592876713</v>
      </c>
      <c r="W97" s="32">
        <f t="shared" si="23"/>
        <v>6496.4071247342472</v>
      </c>
      <c r="X97" s="32">
        <f t="shared" si="24"/>
        <v>6623.7876565917813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444</v>
      </c>
      <c r="R98" s="5" t="s">
        <v>4404</v>
      </c>
      <c r="S98" s="5">
        <f>S97</f>
        <v>175</v>
      </c>
      <c r="T98" s="5" t="s">
        <v>4611</v>
      </c>
      <c r="U98" s="168">
        <v>441.8</v>
      </c>
      <c r="V98" s="99">
        <f t="shared" si="22"/>
        <v>506.0582969863014</v>
      </c>
      <c r="W98" s="32">
        <f t="shared" si="23"/>
        <v>516.17946292602744</v>
      </c>
      <c r="X98" s="32">
        <f t="shared" si="24"/>
        <v>526.30062886575342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1971103</v>
      </c>
      <c r="R99" s="5" t="s">
        <v>4415</v>
      </c>
      <c r="S99" s="5">
        <f>S98-1</f>
        <v>174</v>
      </c>
      <c r="T99" s="5" t="s">
        <v>4416</v>
      </c>
      <c r="U99" s="168">
        <v>196.2</v>
      </c>
      <c r="V99" s="99">
        <f t="shared" si="22"/>
        <v>224.5861084931507</v>
      </c>
      <c r="W99" s="32">
        <f t="shared" si="23"/>
        <v>229.07783066301371</v>
      </c>
      <c r="X99" s="32">
        <f t="shared" si="24"/>
        <v>233.56955283287675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25914.634146341461</v>
      </c>
      <c r="G100" s="200">
        <f>P49</f>
        <v>196.8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357000000</v>
      </c>
      <c r="M100" s="217">
        <f>N21+N30+N49</f>
        <v>335927169.60000002</v>
      </c>
      <c r="N100" s="184">
        <f t="shared" ref="N100:N104" si="26">L100-M100</f>
        <v>21072830.399999976</v>
      </c>
      <c r="Q100" s="35">
        <v>1049856</v>
      </c>
      <c r="R100" s="5" t="s">
        <v>4438</v>
      </c>
      <c r="S100" s="5">
        <f>S99-6</f>
        <v>168</v>
      </c>
      <c r="T100" s="5" t="s">
        <v>4477</v>
      </c>
      <c r="U100" s="168">
        <v>184.5</v>
      </c>
      <c r="V100" s="99">
        <f t="shared" si="22"/>
        <v>210.34415342465755</v>
      </c>
      <c r="W100" s="32">
        <f t="shared" si="23"/>
        <v>214.55103649315069</v>
      </c>
      <c r="X100" s="32">
        <f t="shared" si="24"/>
        <v>218.75791956164386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1013.9769767580572</v>
      </c>
      <c r="G101" s="215">
        <f>P46</f>
        <v>5029.7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224400000</v>
      </c>
      <c r="M101" s="1">
        <f>N24+N46+N27</f>
        <v>219350246.69999999</v>
      </c>
      <c r="N101" s="113">
        <f t="shared" si="26"/>
        <v>5049753.3000000119</v>
      </c>
      <c r="Q101" s="35">
        <v>1783234</v>
      </c>
      <c r="R101" s="5" t="s">
        <v>4440</v>
      </c>
      <c r="S101" s="5">
        <f>S100-2</f>
        <v>166</v>
      </c>
      <c r="T101" s="5" t="s">
        <v>4441</v>
      </c>
      <c r="U101" s="168">
        <v>177.5</v>
      </c>
      <c r="V101" s="99">
        <f t="shared" si="22"/>
        <v>202.09128767123289</v>
      </c>
      <c r="W101" s="32">
        <f t="shared" si="23"/>
        <v>206.13311342465755</v>
      </c>
      <c r="X101" s="32">
        <f t="shared" si="24"/>
        <v>210.17493917808221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1337.5996642887117</v>
      </c>
      <c r="G102" s="200">
        <f>P43</f>
        <v>3812.8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285600000</v>
      </c>
      <c r="M102" s="217">
        <f>N43+N28+N22</f>
        <v>372758392</v>
      </c>
      <c r="N102" s="184">
        <f t="shared" si="26"/>
        <v>-87158392</v>
      </c>
      <c r="Q102" s="35">
        <v>1662335</v>
      </c>
      <c r="R102" s="5" t="s">
        <v>4444</v>
      </c>
      <c r="S102" s="5">
        <f>S101-5</f>
        <v>161</v>
      </c>
      <c r="T102" s="220" t="s">
        <v>4594</v>
      </c>
      <c r="U102" s="168">
        <v>190.3</v>
      </c>
      <c r="V102" s="99">
        <f t="shared" si="22"/>
        <v>215.93471342465756</v>
      </c>
      <c r="W102" s="32">
        <f t="shared" si="23"/>
        <v>220.25340769315071</v>
      </c>
      <c r="X102" s="32">
        <f t="shared" si="24"/>
        <v>224.57210196164388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7205.4252613732697</v>
      </c>
      <c r="G103" s="215">
        <f>P47</f>
        <v>707.8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204000000</v>
      </c>
      <c r="M103" s="1">
        <f>N47+N23+N29</f>
        <v>189049841</v>
      </c>
      <c r="N103" s="113">
        <f t="shared" si="26"/>
        <v>14950159</v>
      </c>
      <c r="Q103" s="169">
        <v>499973</v>
      </c>
      <c r="R103" s="168" t="s">
        <v>4584</v>
      </c>
      <c r="S103" s="168">
        <f>S102-37</f>
        <v>124</v>
      </c>
      <c r="T103" s="73" t="s">
        <v>4585</v>
      </c>
      <c r="U103" s="168">
        <v>413</v>
      </c>
      <c r="V103" s="99">
        <f t="shared" si="22"/>
        <v>456.91151780821923</v>
      </c>
      <c r="W103" s="32">
        <f t="shared" si="23"/>
        <v>466.04974816438363</v>
      </c>
      <c r="X103" s="32">
        <f t="shared" si="24"/>
        <v>475.18797852054803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5100000</v>
      </c>
      <c r="M104" s="217">
        <f>N44+N45</f>
        <v>914130</v>
      </c>
      <c r="N104" s="184">
        <f t="shared" si="26"/>
        <v>4185870</v>
      </c>
      <c r="Q104" s="35">
        <v>2272487</v>
      </c>
      <c r="R104" s="5" t="s">
        <v>4604</v>
      </c>
      <c r="S104" s="5">
        <f>S103-5</f>
        <v>119</v>
      </c>
      <c r="T104" s="5" t="s">
        <v>4605</v>
      </c>
      <c r="U104" s="168">
        <v>174.9</v>
      </c>
      <c r="V104" s="99">
        <f t="shared" si="22"/>
        <v>192.82509369863016</v>
      </c>
      <c r="W104" s="32">
        <f t="shared" si="23"/>
        <v>196.68159557260276</v>
      </c>
      <c r="X104" s="32">
        <f t="shared" si="24"/>
        <v>200.53809744657536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35">
        <v>3975257</v>
      </c>
      <c r="R105" s="5" t="s">
        <v>4609</v>
      </c>
      <c r="S105" s="5">
        <f>S104-1</f>
        <v>118</v>
      </c>
      <c r="T105" s="5" t="s">
        <v>4610</v>
      </c>
      <c r="U105" s="168">
        <v>173</v>
      </c>
      <c r="V105" s="99">
        <f t="shared" si="22"/>
        <v>190.59765479452054</v>
      </c>
      <c r="W105" s="32">
        <f t="shared" si="23"/>
        <v>194.40960789041094</v>
      </c>
      <c r="X105" s="32">
        <f t="shared" si="24"/>
        <v>198.22156098630137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1031662</v>
      </c>
      <c r="R106" s="5" t="s">
        <v>4234</v>
      </c>
      <c r="S106" s="5">
        <f>S105-1</f>
        <v>117</v>
      </c>
      <c r="T106" s="5" t="s">
        <v>4613</v>
      </c>
      <c r="U106" s="168">
        <v>171.2</v>
      </c>
      <c r="V106" s="99">
        <f t="shared" si="22"/>
        <v>188.48322630136985</v>
      </c>
      <c r="W106" s="32">
        <f t="shared" si="23"/>
        <v>192.25289082739727</v>
      </c>
      <c r="X106" s="32">
        <f t="shared" si="24"/>
        <v>196.02255535342465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5100000</v>
      </c>
      <c r="M107" s="1">
        <f>K107*L107</f>
        <v>40800000</v>
      </c>
      <c r="N107" s="113">
        <f>SUM(N100:N105)-M107</f>
        <v>-32699779.300000012</v>
      </c>
      <c r="Q107" s="35">
        <v>577500</v>
      </c>
      <c r="R107" s="5" t="s">
        <v>4234</v>
      </c>
      <c r="S107" s="5">
        <f>S106</f>
        <v>117</v>
      </c>
      <c r="T107" s="5" t="s">
        <v>4617</v>
      </c>
      <c r="U107" s="168">
        <v>175</v>
      </c>
      <c r="V107" s="99">
        <f t="shared" si="22"/>
        <v>192.6668493150685</v>
      </c>
      <c r="W107" s="32">
        <f t="shared" si="23"/>
        <v>196.52018630136988</v>
      </c>
      <c r="X107" s="32">
        <f t="shared" si="24"/>
        <v>200.37352328767125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12636487</v>
      </c>
      <c r="R108" s="5" t="s">
        <v>3691</v>
      </c>
      <c r="S108" s="5">
        <f>S107-2</f>
        <v>115</v>
      </c>
      <c r="T108" s="5" t="s">
        <v>4620</v>
      </c>
      <c r="U108" s="168">
        <v>172.1</v>
      </c>
      <c r="V108" s="99">
        <f t="shared" si="22"/>
        <v>189.2100405479452</v>
      </c>
      <c r="W108" s="32">
        <f t="shared" si="23"/>
        <v>192.99424135890411</v>
      </c>
      <c r="X108" s="32">
        <f t="shared" si="24"/>
        <v>196.77844216986301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169">
        <v>60508</v>
      </c>
      <c r="R109" s="168" t="s">
        <v>4623</v>
      </c>
      <c r="S109" s="168">
        <f>S108-3</f>
        <v>112</v>
      </c>
      <c r="T109" s="168" t="s">
        <v>4947</v>
      </c>
      <c r="U109" s="168">
        <v>1204.7</v>
      </c>
      <c r="V109" s="99">
        <f t="shared" si="22"/>
        <v>1321.6978235616439</v>
      </c>
      <c r="W109" s="32">
        <f t="shared" si="23"/>
        <v>1348.1317800328768</v>
      </c>
      <c r="X109" s="32">
        <f t="shared" si="24"/>
        <v>1374.5657365041097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39">
        <v>11121445</v>
      </c>
      <c r="R110" s="5" t="s">
        <v>4623</v>
      </c>
      <c r="S110" s="5">
        <f>S109</f>
        <v>112</v>
      </c>
      <c r="T110" s="5" t="s">
        <v>4838</v>
      </c>
      <c r="U110" s="168">
        <v>171.8</v>
      </c>
      <c r="V110" s="99">
        <f t="shared" si="22"/>
        <v>188.48483945205481</v>
      </c>
      <c r="W110" s="32">
        <f t="shared" si="23"/>
        <v>192.25453624109591</v>
      </c>
      <c r="X110" s="32">
        <f t="shared" si="24"/>
        <v>196.02423303013703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35">
        <v>8978273</v>
      </c>
      <c r="R111" s="5" t="s">
        <v>4627</v>
      </c>
      <c r="S111" s="5">
        <f>S110-1</f>
        <v>111</v>
      </c>
      <c r="T111" s="5" t="s">
        <v>4628</v>
      </c>
      <c r="U111" s="168">
        <v>3405.9</v>
      </c>
      <c r="V111" s="99">
        <f t="shared" si="22"/>
        <v>3734.0607978082198</v>
      </c>
      <c r="W111" s="32">
        <f t="shared" ref="W111:W156" si="27">V111*(1+$W$19/100)</f>
        <v>3808.7420137643844</v>
      </c>
      <c r="X111" s="32">
        <f t="shared" ref="X111:X156" si="28">V111*(1+$X$19/100)</f>
        <v>3883.4232297205485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5">
        <v>4068640</v>
      </c>
      <c r="R112" s="5" t="s">
        <v>4633</v>
      </c>
      <c r="S112" s="5">
        <f>S111-1</f>
        <v>110</v>
      </c>
      <c r="T112" s="5" t="s">
        <v>4634</v>
      </c>
      <c r="U112" s="168">
        <v>3322.3</v>
      </c>
      <c r="V112" s="99">
        <f t="shared" si="22"/>
        <v>3639.8572668493152</v>
      </c>
      <c r="W112" s="32">
        <f t="shared" si="27"/>
        <v>3712.6544121863017</v>
      </c>
      <c r="X112" s="32">
        <f t="shared" si="28"/>
        <v>3785.4515575232881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9">(M113-L113)*100/L113</f>
        <v>48.81818181818182</v>
      </c>
      <c r="Q113" s="35">
        <v>12656982</v>
      </c>
      <c r="R113" s="5" t="s">
        <v>4633</v>
      </c>
      <c r="S113" s="5">
        <f>S112</f>
        <v>110</v>
      </c>
      <c r="T113" s="5" t="s">
        <v>4635</v>
      </c>
      <c r="U113" s="168">
        <v>5249.9</v>
      </c>
      <c r="V113" s="99">
        <f t="shared" si="22"/>
        <v>5751.7041402739724</v>
      </c>
      <c r="W113" s="32">
        <f t="shared" si="27"/>
        <v>5866.7382230794519</v>
      </c>
      <c r="X113" s="32">
        <f t="shared" si="28"/>
        <v>5981.7723058849315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3812.8</v>
      </c>
      <c r="H114" s="215" t="s">
        <v>4391</v>
      </c>
      <c r="I114" s="215">
        <v>3761</v>
      </c>
      <c r="J114" s="1">
        <f>I114*G114</f>
        <v>14339940.800000001</v>
      </c>
      <c r="K114" s="5" t="s">
        <v>4536</v>
      </c>
      <c r="L114" s="169">
        <v>1100000</v>
      </c>
      <c r="M114" s="169">
        <v>4748000</v>
      </c>
      <c r="N114" s="168">
        <f t="shared" si="29"/>
        <v>331.63636363636363</v>
      </c>
      <c r="Q114" s="169">
        <v>100905</v>
      </c>
      <c r="R114" s="168" t="s">
        <v>4636</v>
      </c>
      <c r="S114" s="168">
        <f>S113-1</f>
        <v>109</v>
      </c>
      <c r="T114" s="168" t="s">
        <v>4642</v>
      </c>
      <c r="U114" s="168">
        <v>372</v>
      </c>
      <c r="V114" s="99">
        <f t="shared" si="22"/>
        <v>407.27171506849317</v>
      </c>
      <c r="W114" s="32">
        <f t="shared" si="27"/>
        <v>415.41714936986301</v>
      </c>
      <c r="X114" s="32">
        <f t="shared" si="28"/>
        <v>423.56258367123291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5029.7</v>
      </c>
      <c r="H115" s="215" t="s">
        <v>4395</v>
      </c>
      <c r="I115" s="215">
        <v>7163</v>
      </c>
      <c r="J115" s="1">
        <f>I115*G115</f>
        <v>36027741.100000001</v>
      </c>
      <c r="K115" s="5" t="s">
        <v>4537</v>
      </c>
      <c r="L115" s="169">
        <v>1100000</v>
      </c>
      <c r="M115" s="169">
        <v>5137000</v>
      </c>
      <c r="N115" s="168">
        <f t="shared" si="29"/>
        <v>367</v>
      </c>
      <c r="P115" s="114"/>
      <c r="Q115" s="35">
        <v>48637534</v>
      </c>
      <c r="R115" s="5" t="s">
        <v>4636</v>
      </c>
      <c r="S115" s="5">
        <f>S114</f>
        <v>109</v>
      </c>
      <c r="T115" s="5" t="s">
        <v>4640</v>
      </c>
      <c r="U115" s="168">
        <v>5330</v>
      </c>
      <c r="V115" s="99">
        <f t="shared" si="22"/>
        <v>5835.3716164383568</v>
      </c>
      <c r="W115" s="32">
        <f t="shared" si="27"/>
        <v>5952.0790487671238</v>
      </c>
      <c r="X115" s="32">
        <f t="shared" si="28"/>
        <v>6068.7864810958908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707.8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9"/>
        <v>290.90909090909093</v>
      </c>
      <c r="Q116" s="35">
        <v>40048573</v>
      </c>
      <c r="R116" s="5" t="s">
        <v>4636</v>
      </c>
      <c r="S116" s="5">
        <f>S115</f>
        <v>109</v>
      </c>
      <c r="T116" s="5" t="s">
        <v>4641</v>
      </c>
      <c r="U116" s="168">
        <v>498.9</v>
      </c>
      <c r="V116" s="99">
        <f t="shared" si="22"/>
        <v>546.20392109589045</v>
      </c>
      <c r="W116" s="32">
        <f t="shared" si="27"/>
        <v>557.12799951780823</v>
      </c>
      <c r="X116" s="32">
        <f t="shared" si="28"/>
        <v>568.05207793972613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5242</v>
      </c>
      <c r="H117" s="215" t="s">
        <v>4538</v>
      </c>
      <c r="I117" s="215">
        <v>130</v>
      </c>
      <c r="J117" s="1">
        <f>I117*G117</f>
        <v>681460</v>
      </c>
      <c r="K117" s="5" t="s">
        <v>4410</v>
      </c>
      <c r="L117" s="169">
        <v>1100000</v>
      </c>
      <c r="M117" s="169">
        <v>3191000</v>
      </c>
      <c r="N117" s="168">
        <f t="shared" si="29"/>
        <v>190.09090909090909</v>
      </c>
      <c r="Q117" s="35">
        <v>37856769</v>
      </c>
      <c r="R117" s="5" t="s">
        <v>4652</v>
      </c>
      <c r="S117" s="5">
        <f>S116-1</f>
        <v>108</v>
      </c>
      <c r="T117" s="5" t="s">
        <v>4654</v>
      </c>
      <c r="U117" s="168">
        <v>5393.6</v>
      </c>
      <c r="V117" s="99">
        <f t="shared" si="22"/>
        <v>5900.8643857534262</v>
      </c>
      <c r="W117" s="32">
        <f t="shared" si="27"/>
        <v>6018.8816734684951</v>
      </c>
      <c r="X117" s="32">
        <f t="shared" si="28"/>
        <v>6136.8989611835632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51049141.900000006</v>
      </c>
      <c r="K118" s="5" t="s">
        <v>4538</v>
      </c>
      <c r="L118" s="169">
        <v>1100000</v>
      </c>
      <c r="M118" s="169">
        <v>5623000</v>
      </c>
      <c r="N118" s="168">
        <f t="shared" si="29"/>
        <v>411.18181818181819</v>
      </c>
      <c r="Q118" s="35">
        <v>155151</v>
      </c>
      <c r="R118" s="5" t="s">
        <v>4663</v>
      </c>
      <c r="S118" s="5">
        <f>S117-3</f>
        <v>105</v>
      </c>
      <c r="T118" s="5" t="s">
        <v>4665</v>
      </c>
      <c r="U118" s="168">
        <v>5325.9</v>
      </c>
      <c r="V118" s="99">
        <f t="shared" si="22"/>
        <v>5814.5403813698631</v>
      </c>
      <c r="W118" s="32">
        <f t="shared" si="27"/>
        <v>5930.8311889972601</v>
      </c>
      <c r="X118" s="32">
        <f t="shared" si="28"/>
        <v>6047.1219966246581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9"/>
        <v>602.5454545454545</v>
      </c>
      <c r="Q119" s="35">
        <v>8938737</v>
      </c>
      <c r="R119" s="5" t="s">
        <v>4668</v>
      </c>
      <c r="S119" s="5">
        <f>S118-1</f>
        <v>104</v>
      </c>
      <c r="T119" s="5" t="s">
        <v>4670</v>
      </c>
      <c r="U119" s="168">
        <v>5179.5</v>
      </c>
      <c r="V119" s="99">
        <f t="shared" si="22"/>
        <v>5650.7351671232882</v>
      </c>
      <c r="W119" s="32">
        <f t="shared" si="27"/>
        <v>5763.7498704657537</v>
      </c>
      <c r="X119" s="32">
        <f t="shared" si="28"/>
        <v>5876.7645738082201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9"/>
        <v>164</v>
      </c>
      <c r="P120" s="114"/>
      <c r="Q120" s="35">
        <v>2595417</v>
      </c>
      <c r="R120" s="5" t="s">
        <v>4678</v>
      </c>
      <c r="S120" s="5">
        <f>S119-1</f>
        <v>103</v>
      </c>
      <c r="T120" s="5" t="s">
        <v>4679</v>
      </c>
      <c r="U120" s="168">
        <v>4803</v>
      </c>
      <c r="V120" s="99">
        <f t="shared" si="22"/>
        <v>5236.2963945205493</v>
      </c>
      <c r="W120" s="32">
        <f t="shared" si="27"/>
        <v>5341.0223224109604</v>
      </c>
      <c r="X120" s="32">
        <f t="shared" si="28"/>
        <v>5445.7482503013716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9"/>
        <v>209.09090909090909</v>
      </c>
      <c r="Q121" s="169">
        <v>183283</v>
      </c>
      <c r="R121" s="212" t="s">
        <v>4681</v>
      </c>
      <c r="S121" s="212">
        <f>S120-1</f>
        <v>102</v>
      </c>
      <c r="T121" s="212" t="s">
        <v>4690</v>
      </c>
      <c r="U121" s="212">
        <v>347.5</v>
      </c>
      <c r="V121" s="99">
        <f t="shared" si="22"/>
        <v>378.58268493150689</v>
      </c>
      <c r="W121" s="32">
        <f t="shared" si="27"/>
        <v>386.15433863013703</v>
      </c>
      <c r="X121" s="32">
        <f t="shared" si="28"/>
        <v>393.72599232876718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559461</v>
      </c>
      <c r="R122" s="5" t="s">
        <v>4681</v>
      </c>
      <c r="S122" s="5">
        <f>S121</f>
        <v>102</v>
      </c>
      <c r="T122" s="5" t="s">
        <v>4688</v>
      </c>
      <c r="U122" s="212">
        <v>508.1</v>
      </c>
      <c r="V122" s="99">
        <f t="shared" ref="V122:V153" si="32">U122*(1+$N$81+$Q$15*S122/36500)</f>
        <v>553.5478049315069</v>
      </c>
      <c r="W122" s="32">
        <f t="shared" si="27"/>
        <v>564.61876103013708</v>
      </c>
      <c r="X122" s="32">
        <f t="shared" si="28"/>
        <v>575.68971712876714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35">
        <v>9376000</v>
      </c>
      <c r="R123" s="5" t="s">
        <v>4681</v>
      </c>
      <c r="S123" s="5">
        <f>S122</f>
        <v>102</v>
      </c>
      <c r="T123" s="5" t="s">
        <v>4689</v>
      </c>
      <c r="U123" s="212">
        <v>3184.1</v>
      </c>
      <c r="V123" s="99">
        <f t="shared" si="32"/>
        <v>3468.9068405479452</v>
      </c>
      <c r="W123" s="32">
        <f t="shared" si="27"/>
        <v>3538.2849773589041</v>
      </c>
      <c r="X123" s="32">
        <f t="shared" si="28"/>
        <v>3607.6631141698631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3812.8</v>
      </c>
      <c r="H124" s="215" t="s">
        <v>4391</v>
      </c>
      <c r="I124" s="215">
        <v>1000</v>
      </c>
      <c r="J124" s="1">
        <f>I124*G124</f>
        <v>3812800</v>
      </c>
      <c r="K124" s="245" t="s">
        <v>4571</v>
      </c>
      <c r="Q124" s="35">
        <v>13100555</v>
      </c>
      <c r="R124" s="5" t="s">
        <v>4697</v>
      </c>
      <c r="S124" s="5">
        <f>S123-1</f>
        <v>101</v>
      </c>
      <c r="T124" s="5" t="s">
        <v>4698</v>
      </c>
      <c r="U124" s="212">
        <v>3180.5</v>
      </c>
      <c r="V124" s="99">
        <f t="shared" si="32"/>
        <v>3462.5449972602746</v>
      </c>
      <c r="W124" s="32">
        <f t="shared" si="27"/>
        <v>3531.7958972054803</v>
      </c>
      <c r="X124" s="32">
        <f t="shared" si="28"/>
        <v>3601.0467971506855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5029.7</v>
      </c>
      <c r="H125" s="215" t="s">
        <v>4931</v>
      </c>
      <c r="I125" s="215">
        <v>1000</v>
      </c>
      <c r="J125" s="1">
        <f t="shared" ref="J125:J127" si="33">I125*G125</f>
        <v>5029700</v>
      </c>
      <c r="P125" s="114"/>
      <c r="Q125" s="35">
        <v>622942</v>
      </c>
      <c r="R125" s="5" t="s">
        <v>4697</v>
      </c>
      <c r="S125" s="5">
        <f>S124</f>
        <v>101</v>
      </c>
      <c r="T125" s="5" t="s">
        <v>4699</v>
      </c>
      <c r="U125" s="212">
        <v>503.3</v>
      </c>
      <c r="V125" s="99">
        <f t="shared" si="32"/>
        <v>547.93236821917822</v>
      </c>
      <c r="W125" s="32">
        <f t="shared" si="27"/>
        <v>558.89101558356174</v>
      </c>
      <c r="X125" s="32">
        <f t="shared" si="28"/>
        <v>569.84966294794538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196.8</v>
      </c>
      <c r="H126" s="215" t="s">
        <v>4243</v>
      </c>
      <c r="I126" s="215">
        <v>108344</v>
      </c>
      <c r="J126" s="1">
        <f t="shared" si="33"/>
        <v>21322099.200000003</v>
      </c>
      <c r="Q126" s="35">
        <v>1472140</v>
      </c>
      <c r="R126" s="5" t="s">
        <v>4704</v>
      </c>
      <c r="S126" s="5">
        <f>S125-3</f>
        <v>98</v>
      </c>
      <c r="T126" s="5" t="s">
        <v>4707</v>
      </c>
      <c r="U126" s="168">
        <v>502</v>
      </c>
      <c r="V126" s="99">
        <f t="shared" si="32"/>
        <v>545.3617972602741</v>
      </c>
      <c r="W126" s="32">
        <f t="shared" si="27"/>
        <v>556.26903320547956</v>
      </c>
      <c r="X126" s="32">
        <f t="shared" si="28"/>
        <v>567.17626915068513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5242</v>
      </c>
      <c r="H127" s="215" t="s">
        <v>4538</v>
      </c>
      <c r="I127" s="215">
        <v>3</v>
      </c>
      <c r="J127" s="1">
        <f t="shared" si="33"/>
        <v>15726</v>
      </c>
      <c r="Q127" s="35">
        <v>4394591</v>
      </c>
      <c r="R127" s="5" t="s">
        <v>4709</v>
      </c>
      <c r="S127" s="5">
        <f>S126-1</f>
        <v>97</v>
      </c>
      <c r="T127" s="5" t="s">
        <v>4710</v>
      </c>
      <c r="U127" s="168">
        <v>481.7</v>
      </c>
      <c r="V127" s="99">
        <f t="shared" si="32"/>
        <v>522.9387989041096</v>
      </c>
      <c r="W127" s="32">
        <f t="shared" si="27"/>
        <v>533.39757488219186</v>
      </c>
      <c r="X127" s="32">
        <f t="shared" si="28"/>
        <v>543.85635086027401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30180325.200000003</v>
      </c>
      <c r="Q128" s="117">
        <v>4085110</v>
      </c>
      <c r="R128" s="19" t="s">
        <v>4712</v>
      </c>
      <c r="S128" s="19">
        <f>S127-1</f>
        <v>96</v>
      </c>
      <c r="T128" s="19" t="s">
        <v>4713</v>
      </c>
      <c r="U128" s="215">
        <v>3115.9</v>
      </c>
      <c r="V128" s="99">
        <f t="shared" si="32"/>
        <v>3380.2649073972607</v>
      </c>
      <c r="W128" s="32">
        <f t="shared" si="27"/>
        <v>3447.8702055452059</v>
      </c>
      <c r="X128" s="32">
        <f t="shared" si="28"/>
        <v>3515.475503693151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117">
        <v>8398607</v>
      </c>
      <c r="R129" s="19" t="s">
        <v>4723</v>
      </c>
      <c r="S129" s="19">
        <f>S128-8</f>
        <v>88</v>
      </c>
      <c r="T129" s="19" t="s">
        <v>4725</v>
      </c>
      <c r="U129" s="215">
        <v>3120.5</v>
      </c>
      <c r="V129" s="99">
        <f t="shared" si="32"/>
        <v>3366.1047232876717</v>
      </c>
      <c r="W129" s="32">
        <f t="shared" si="27"/>
        <v>3433.4268177534254</v>
      </c>
      <c r="X129" s="32">
        <f t="shared" si="28"/>
        <v>3500.7489122191787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18565999</v>
      </c>
      <c r="R130" s="19" t="s">
        <v>4726</v>
      </c>
      <c r="S130" s="19">
        <f>S129-1</f>
        <v>87</v>
      </c>
      <c r="T130" s="19" t="s">
        <v>4734</v>
      </c>
      <c r="U130" s="215">
        <v>3112.4</v>
      </c>
      <c r="V130" s="99">
        <f t="shared" si="32"/>
        <v>3354.9796032876716</v>
      </c>
      <c r="W130" s="32">
        <f t="shared" si="27"/>
        <v>3422.0791953534249</v>
      </c>
      <c r="X130" s="32">
        <f t="shared" si="28"/>
        <v>3489.1787874191787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5924703</v>
      </c>
      <c r="R131" s="19" t="s">
        <v>4736</v>
      </c>
      <c r="S131" s="19">
        <f>S130-3</f>
        <v>84</v>
      </c>
      <c r="T131" s="19" t="s">
        <v>4827</v>
      </c>
      <c r="U131" s="215">
        <v>489</v>
      </c>
      <c r="V131" s="99">
        <f t="shared" si="32"/>
        <v>525.98715616438358</v>
      </c>
      <c r="W131" s="32">
        <f t="shared" si="27"/>
        <v>536.50689928767122</v>
      </c>
      <c r="X131" s="32">
        <f t="shared" si="28"/>
        <v>547.02664241095897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164801</v>
      </c>
      <c r="R132" s="19" t="s">
        <v>4749</v>
      </c>
      <c r="S132" s="19">
        <f>S131-2</f>
        <v>82</v>
      </c>
      <c r="T132" s="19" t="s">
        <v>4753</v>
      </c>
      <c r="U132" s="215">
        <v>3095.1</v>
      </c>
      <c r="V132" s="99">
        <f t="shared" si="32"/>
        <v>3324.459629589041</v>
      </c>
      <c r="W132" s="32">
        <f t="shared" si="27"/>
        <v>3390.9488221808219</v>
      </c>
      <c r="X132" s="32">
        <f t="shared" si="28"/>
        <v>3457.4380147726029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5001091</v>
      </c>
      <c r="R133" s="19" t="s">
        <v>4756</v>
      </c>
      <c r="S133" s="19">
        <f>S132-1</f>
        <v>81</v>
      </c>
      <c r="T133" s="19" t="s">
        <v>4757</v>
      </c>
      <c r="U133" s="215">
        <v>3125</v>
      </c>
      <c r="V133" s="99">
        <f t="shared" si="32"/>
        <v>3354.178082191781</v>
      </c>
      <c r="W133" s="32">
        <f t="shared" si="27"/>
        <v>3421.2616438356167</v>
      </c>
      <c r="X133" s="32">
        <f t="shared" si="28"/>
        <v>3488.3452054794525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12497226</v>
      </c>
      <c r="R134" s="19" t="s">
        <v>4791</v>
      </c>
      <c r="S134" s="19">
        <f>S133-7</f>
        <v>74</v>
      </c>
      <c r="T134" s="19" t="s">
        <v>4795</v>
      </c>
      <c r="U134" s="215">
        <v>3307.5</v>
      </c>
      <c r="V134" s="99">
        <f t="shared" si="32"/>
        <v>3532.3012602739727</v>
      </c>
      <c r="W134" s="32">
        <f t="shared" si="27"/>
        <v>3602.9472854794521</v>
      </c>
      <c r="X134" s="32">
        <f t="shared" si="28"/>
        <v>3673.5933106849316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24695044</v>
      </c>
      <c r="R135" s="19" t="s">
        <v>4791</v>
      </c>
      <c r="S135" s="19">
        <f>S134</f>
        <v>74</v>
      </c>
      <c r="T135" s="19" t="s">
        <v>4796</v>
      </c>
      <c r="U135" s="215">
        <v>5249.5</v>
      </c>
      <c r="V135" s="99">
        <f t="shared" si="32"/>
        <v>5606.2934136986305</v>
      </c>
      <c r="W135" s="32">
        <f t="shared" si="27"/>
        <v>5718.4192819726031</v>
      </c>
      <c r="X135" s="32">
        <f t="shared" si="28"/>
        <v>5830.5451502465758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5416530</v>
      </c>
      <c r="R136" s="19" t="s">
        <v>4802</v>
      </c>
      <c r="S136" s="19">
        <f>S135-1</f>
        <v>73</v>
      </c>
      <c r="T136" s="19" t="s">
        <v>4860</v>
      </c>
      <c r="U136" s="215">
        <v>5235</v>
      </c>
      <c r="V136" s="99">
        <f t="shared" si="32"/>
        <v>5586.7920000000004</v>
      </c>
      <c r="W136" s="32">
        <f t="shared" si="27"/>
        <v>5698.5278400000007</v>
      </c>
      <c r="X136" s="32">
        <f t="shared" si="28"/>
        <v>5810.2636800000009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153812</v>
      </c>
      <c r="R137" s="19" t="s">
        <v>4833</v>
      </c>
      <c r="S137" s="19">
        <f>S136-6</f>
        <v>67</v>
      </c>
      <c r="T137" s="19" t="s">
        <v>4834</v>
      </c>
      <c r="U137" s="215">
        <v>537.20000000000005</v>
      </c>
      <c r="V137" s="99">
        <f t="shared" si="32"/>
        <v>570.82724821917816</v>
      </c>
      <c r="W137" s="32">
        <f t="shared" si="27"/>
        <v>582.24379318356171</v>
      </c>
      <c r="X137" s="32">
        <f t="shared" si="28"/>
        <v>593.66033814794525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10926171</v>
      </c>
      <c r="R138" s="19" t="s">
        <v>4862</v>
      </c>
      <c r="S138" s="19">
        <f>S137-6</f>
        <v>61</v>
      </c>
      <c r="T138" s="19" t="s">
        <v>4864</v>
      </c>
      <c r="U138" s="215">
        <v>5355.4</v>
      </c>
      <c r="V138" s="99">
        <f t="shared" si="32"/>
        <v>5665.9838553424661</v>
      </c>
      <c r="W138" s="32">
        <f t="shared" si="27"/>
        <v>5779.3035324493158</v>
      </c>
      <c r="X138" s="32">
        <f t="shared" si="28"/>
        <v>5892.6232095561645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69">
        <v>2148718</v>
      </c>
      <c r="R139" s="215" t="s">
        <v>4884</v>
      </c>
      <c r="S139" s="215">
        <f>S138-6</f>
        <v>55</v>
      </c>
      <c r="T139" s="215" t="s">
        <v>4887</v>
      </c>
      <c r="U139" s="215">
        <v>3400.3</v>
      </c>
      <c r="V139" s="99">
        <f t="shared" si="32"/>
        <v>3581.848072328768</v>
      </c>
      <c r="W139" s="32">
        <f t="shared" si="27"/>
        <v>3653.4850337753433</v>
      </c>
      <c r="X139" s="32">
        <f t="shared" si="28"/>
        <v>3725.121995221919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69">
        <v>119669</v>
      </c>
      <c r="R140" s="215" t="s">
        <v>981</v>
      </c>
      <c r="S140" s="215">
        <f>S139-2</f>
        <v>53</v>
      </c>
      <c r="T140" s="215" t="s">
        <v>4903</v>
      </c>
      <c r="U140" s="215">
        <v>3609.6</v>
      </c>
      <c r="V140" s="99">
        <f t="shared" si="32"/>
        <v>3796.7849556164388</v>
      </c>
      <c r="W140" s="32">
        <f t="shared" si="27"/>
        <v>3872.7206547287674</v>
      </c>
      <c r="X140" s="32">
        <f t="shared" si="28"/>
        <v>3948.6563538410965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17086367</v>
      </c>
      <c r="R141" s="215" t="s">
        <v>4933</v>
      </c>
      <c r="S141" s="215">
        <f>S140-19</f>
        <v>34</v>
      </c>
      <c r="T141" s="215" t="s">
        <v>4941</v>
      </c>
      <c r="U141" s="215">
        <v>3751.1</v>
      </c>
      <c r="V141" s="99">
        <f t="shared" si="32"/>
        <v>3890.9492295890409</v>
      </c>
      <c r="W141" s="32">
        <f t="shared" si="27"/>
        <v>3968.7682141808218</v>
      </c>
      <c r="X141" s="32">
        <f t="shared" si="28"/>
        <v>4046.5871987726027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26970108</v>
      </c>
      <c r="R142" s="215" t="s">
        <v>4933</v>
      </c>
      <c r="S142" s="215">
        <f>S141</f>
        <v>34</v>
      </c>
      <c r="T142" s="215" t="s">
        <v>4942</v>
      </c>
      <c r="U142" s="215">
        <v>6110.2</v>
      </c>
      <c r="V142" s="99">
        <f t="shared" si="32"/>
        <v>6338.0016482191777</v>
      </c>
      <c r="W142" s="32">
        <f t="shared" si="27"/>
        <v>6464.7616811835614</v>
      </c>
      <c r="X142" s="32">
        <f t="shared" si="28"/>
        <v>6591.5217141479452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6150141</v>
      </c>
      <c r="R143" s="215" t="s">
        <v>4933</v>
      </c>
      <c r="S143" s="215">
        <f>S142</f>
        <v>34</v>
      </c>
      <c r="T143" s="215" t="s">
        <v>4943</v>
      </c>
      <c r="U143" s="215">
        <v>180.6</v>
      </c>
      <c r="V143" s="99">
        <f t="shared" si="32"/>
        <v>187.33316383561643</v>
      </c>
      <c r="W143" s="32">
        <f t="shared" si="27"/>
        <v>191.07982711232876</v>
      </c>
      <c r="X143" s="32">
        <f t="shared" si="28"/>
        <v>194.82649038904108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162112</v>
      </c>
      <c r="R144" s="215" t="s">
        <v>4957</v>
      </c>
      <c r="S144" s="215">
        <f>S143-7</f>
        <v>27</v>
      </c>
      <c r="T144" s="215" t="s">
        <v>4960</v>
      </c>
      <c r="U144" s="215">
        <v>632.79999999999995</v>
      </c>
      <c r="V144" s="99">
        <f t="shared" si="32"/>
        <v>652.99412164383568</v>
      </c>
      <c r="W144" s="32">
        <f t="shared" si="27"/>
        <v>666.05400407671243</v>
      </c>
      <c r="X144" s="32">
        <f t="shared" si="28"/>
        <v>679.11388650958918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1399908</v>
      </c>
      <c r="R145" s="215" t="s">
        <v>5014</v>
      </c>
      <c r="S145" s="215">
        <f>S144-13</f>
        <v>14</v>
      </c>
      <c r="T145" s="215" t="s">
        <v>5015</v>
      </c>
      <c r="U145" s="215">
        <v>194</v>
      </c>
      <c r="V145" s="99">
        <f t="shared" si="32"/>
        <v>198.25630684931511</v>
      </c>
      <c r="W145" s="32">
        <f t="shared" si="27"/>
        <v>202.22143298630141</v>
      </c>
      <c r="X145" s="32">
        <f t="shared" si="28"/>
        <v>206.18655912328771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466793</v>
      </c>
      <c r="R146" s="215" t="s">
        <v>5020</v>
      </c>
      <c r="S146" s="215">
        <f>S145-3</f>
        <v>11</v>
      </c>
      <c r="T146" s="215" t="s">
        <v>5022</v>
      </c>
      <c r="U146" s="215">
        <v>4005.5</v>
      </c>
      <c r="V146" s="99">
        <f t="shared" si="32"/>
        <v>4084.1614356164387</v>
      </c>
      <c r="W146" s="32">
        <f t="shared" si="27"/>
        <v>4165.8446643287671</v>
      </c>
      <c r="X146" s="32">
        <f t="shared" si="28"/>
        <v>4247.5278930410959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250500</v>
      </c>
      <c r="R147" s="215" t="s">
        <v>4963</v>
      </c>
      <c r="S147" s="215">
        <f>S146-1</f>
        <v>10</v>
      </c>
      <c r="T147" s="215" t="s">
        <v>5025</v>
      </c>
      <c r="U147" s="215">
        <v>4087.6</v>
      </c>
      <c r="V147" s="99">
        <f t="shared" si="32"/>
        <v>4164.7380515068498</v>
      </c>
      <c r="W147" s="32">
        <f t="shared" si="27"/>
        <v>4248.032812536987</v>
      </c>
      <c r="X147" s="32">
        <f t="shared" si="28"/>
        <v>4331.3275735671241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1204033</v>
      </c>
      <c r="R148" s="215" t="s">
        <v>5027</v>
      </c>
      <c r="S148" s="215">
        <f>S147-3</f>
        <v>7</v>
      </c>
      <c r="T148" s="215" t="s">
        <v>5030</v>
      </c>
      <c r="U148" s="215">
        <v>218.5</v>
      </c>
      <c r="V148" s="99">
        <f t="shared" si="32"/>
        <v>222.12051506849318</v>
      </c>
      <c r="W148" s="32">
        <f t="shared" si="27"/>
        <v>226.56292536986305</v>
      </c>
      <c r="X148" s="32">
        <f t="shared" si="28"/>
        <v>231.0053356712329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1602603</v>
      </c>
      <c r="R149" s="215" t="s">
        <v>5032</v>
      </c>
      <c r="S149" s="215">
        <f>S148-1</f>
        <v>6</v>
      </c>
      <c r="T149" s="215" t="s">
        <v>5033</v>
      </c>
      <c r="U149" s="215">
        <v>4079.8</v>
      </c>
      <c r="V149" s="99">
        <f t="shared" si="32"/>
        <v>4144.2720175342465</v>
      </c>
      <c r="W149" s="32">
        <f t="shared" si="27"/>
        <v>4227.1574578849313</v>
      </c>
      <c r="X149" s="32">
        <f t="shared" si="28"/>
        <v>4310.0428982356161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34125292</v>
      </c>
      <c r="R150" s="215" t="s">
        <v>5040</v>
      </c>
      <c r="S150" s="215">
        <f>S149-6</f>
        <v>0</v>
      </c>
      <c r="T150" s="215" t="s">
        <v>5047</v>
      </c>
      <c r="U150" s="215">
        <v>3686.5</v>
      </c>
      <c r="V150" s="99">
        <f t="shared" si="32"/>
        <v>3727.7888000000003</v>
      </c>
      <c r="W150" s="32">
        <f t="shared" si="27"/>
        <v>3802.3445760000004</v>
      </c>
      <c r="X150" s="32">
        <f t="shared" si="28"/>
        <v>3876.9003520000006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8382674</v>
      </c>
      <c r="R151" s="215" t="s">
        <v>5040</v>
      </c>
      <c r="S151" s="215">
        <f>S150</f>
        <v>0</v>
      </c>
      <c r="T151" s="215" t="s">
        <v>5048</v>
      </c>
      <c r="U151" s="215">
        <v>192</v>
      </c>
      <c r="V151" s="99">
        <f t="shared" si="32"/>
        <v>194.15040000000002</v>
      </c>
      <c r="W151" s="32">
        <f t="shared" si="27"/>
        <v>198.03340800000004</v>
      </c>
      <c r="X151" s="32">
        <f t="shared" si="28"/>
        <v>201.91641600000003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4527510</v>
      </c>
      <c r="R152" s="215" t="s">
        <v>5060</v>
      </c>
      <c r="S152" s="215">
        <f>S151-2</f>
        <v>-2</v>
      </c>
      <c r="T152" s="215" t="s">
        <v>5061</v>
      </c>
      <c r="U152" s="215">
        <v>3700</v>
      </c>
      <c r="V152" s="99">
        <f t="shared" si="32"/>
        <v>3735.7632876712332</v>
      </c>
      <c r="W152" s="32">
        <f t="shared" si="27"/>
        <v>3810.478553424658</v>
      </c>
      <c r="X152" s="32">
        <f t="shared" si="28"/>
        <v>3885.1938191780828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400275</v>
      </c>
      <c r="R153" s="215" t="s">
        <v>5060</v>
      </c>
      <c r="S153" s="215">
        <f>S152</f>
        <v>-2</v>
      </c>
      <c r="T153" s="215" t="s">
        <v>5063</v>
      </c>
      <c r="U153" s="215">
        <v>3723</v>
      </c>
      <c r="V153" s="99">
        <f t="shared" si="32"/>
        <v>3758.9856</v>
      </c>
      <c r="W153" s="32">
        <f t="shared" si="27"/>
        <v>3834.1653120000001</v>
      </c>
      <c r="X153" s="32">
        <f t="shared" si="28"/>
        <v>3909.3450240000002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11829600</v>
      </c>
      <c r="R154" s="215" t="s">
        <v>5060</v>
      </c>
      <c r="S154" s="215">
        <f>S153</f>
        <v>-2</v>
      </c>
      <c r="T154" s="215" t="s">
        <v>5064</v>
      </c>
      <c r="U154" s="215">
        <v>3714.5</v>
      </c>
      <c r="V154" s="99">
        <f t="shared" ref="V154:V156" si="39">U154*(1+$N$81+$Q$15*S154/36500)</f>
        <v>3750.4034410958907</v>
      </c>
      <c r="W154" s="32">
        <f t="shared" si="27"/>
        <v>3825.4115099178084</v>
      </c>
      <c r="X154" s="32">
        <f t="shared" si="28"/>
        <v>3900.4195787397266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4527086</v>
      </c>
      <c r="R155" s="215" t="s">
        <v>5060</v>
      </c>
      <c r="S155" s="215">
        <f>S154</f>
        <v>-2</v>
      </c>
      <c r="T155" s="215" t="s">
        <v>5065</v>
      </c>
      <c r="U155" s="215">
        <v>3748.9</v>
      </c>
      <c r="V155" s="99">
        <f t="shared" si="39"/>
        <v>3785.135943013699</v>
      </c>
      <c r="W155" s="32">
        <f t="shared" si="27"/>
        <v>3860.8386618739733</v>
      </c>
      <c r="X155" s="32">
        <f t="shared" si="28"/>
        <v>3936.541380734247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/>
      <c r="R156" s="168"/>
      <c r="S156" s="168"/>
      <c r="T156" s="168"/>
      <c r="U156" s="168"/>
      <c r="V156" s="99">
        <f t="shared" si="39"/>
        <v>0</v>
      </c>
      <c r="W156" s="32">
        <f t="shared" si="27"/>
        <v>0</v>
      </c>
      <c r="X156" s="32">
        <f t="shared" si="28"/>
        <v>0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13">
        <f>SUM(N43:N50)-SUM(Q90:Q156)</f>
        <v>34347112.800000072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R160" s="32">
        <v>2480</v>
      </c>
      <c r="S160" s="236">
        <v>13041741</v>
      </c>
      <c r="U160" s="96" t="s">
        <v>25</v>
      </c>
      <c r="V160" s="122" t="s">
        <v>25</v>
      </c>
      <c r="W160" s="96" t="s">
        <v>25</v>
      </c>
      <c r="X160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R162" s="32">
        <f>R160-R161</f>
        <v>1030</v>
      </c>
      <c r="S162" s="1">
        <f>R162*S160/R160</f>
        <v>5416529.5282258065</v>
      </c>
      <c r="U162" s="122" t="s">
        <v>25</v>
      </c>
      <c r="V162" s="96"/>
      <c r="W162"/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V163" s="96"/>
      <c r="W163"/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168" t="s">
        <v>4450</v>
      </c>
      <c r="R166" s="168" t="s">
        <v>4468</v>
      </c>
      <c r="S166" s="168" t="s">
        <v>4470</v>
      </c>
      <c r="T166" s="168"/>
      <c r="U166" s="168" t="s">
        <v>4464</v>
      </c>
      <c r="V166" s="56" t="s">
        <v>4467</v>
      </c>
      <c r="W166" s="99"/>
      <c r="X166" s="115"/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68" t="s">
        <v>751</v>
      </c>
      <c r="R167" s="56">
        <v>1716161</v>
      </c>
      <c r="S167" s="113">
        <f>R167*$T$253</f>
        <v>540522975.08143425</v>
      </c>
      <c r="T167" s="168"/>
      <c r="U167" s="168">
        <f>$Q$165*$T$165*S167/$R$191</f>
        <v>361.63264772867115</v>
      </c>
      <c r="V167" s="95">
        <f>S167+U167</f>
        <v>540523336.714082</v>
      </c>
      <c r="W167" s="99">
        <f>R167*100/U250</f>
        <v>48.217686363822821</v>
      </c>
      <c r="X167" s="21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4452</v>
      </c>
      <c r="R168" s="56">
        <v>1685765</v>
      </c>
      <c r="S168" s="113">
        <f>R168*$T$253</f>
        <v>530949434.86546654</v>
      </c>
      <c r="T168" s="168"/>
      <c r="U168" s="215">
        <f>$Q$165*$T$165*S168/$R$191</f>
        <v>355.22754589943679</v>
      </c>
      <c r="V168" s="95">
        <f t="shared" ref="V168:V169" si="40">S168+U168</f>
        <v>530949790.09301245</v>
      </c>
      <c r="W168" s="99">
        <f>R168*100/U250</f>
        <v>47.363672786591572</v>
      </c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4451</v>
      </c>
      <c r="R169" s="56">
        <v>53811</v>
      </c>
      <c r="S169" s="113">
        <f>R169*$T$253</f>
        <v>16948340.984387279</v>
      </c>
      <c r="T169" s="168"/>
      <c r="U169" s="215">
        <f>$Q$165*$T$165*S169/$R$191</f>
        <v>11.3391543141509</v>
      </c>
      <c r="V169" s="95">
        <f t="shared" si="40"/>
        <v>16948352.323541593</v>
      </c>
      <c r="W169" s="99">
        <f>R169*100/U250</f>
        <v>1.5118872418867868</v>
      </c>
      <c r="X169" s="115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1087</v>
      </c>
      <c r="R170" s="56">
        <v>103457</v>
      </c>
      <c r="S170" s="113">
        <f>R170*$T$253</f>
        <v>32584871.368711874</v>
      </c>
      <c r="T170" s="168"/>
      <c r="U170" s="215">
        <f>$Q$165*$T$165*S170/$R$191</f>
        <v>21.800652057741161</v>
      </c>
      <c r="V170" s="95">
        <f>S170+U170</f>
        <v>32584893.169363931</v>
      </c>
      <c r="W170" s="99">
        <f>R170*100/U250</f>
        <v>2.9067536076988216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/>
      <c r="R171" s="56"/>
      <c r="S171" s="168"/>
      <c r="T171" s="168"/>
      <c r="U171" s="168"/>
      <c r="V171" s="168"/>
      <c r="W171" s="99"/>
      <c r="X171" s="96"/>
      <c r="AI171" t="s">
        <v>4064</v>
      </c>
      <c r="AJ171" s="114">
        <f>SUM(N41:N50)</f>
        <v>689720810.80000007</v>
      </c>
    </row>
    <row r="172" spans="15:40">
      <c r="P172">
        <f>R170+1524</f>
        <v>104981</v>
      </c>
      <c r="Q172" s="168"/>
      <c r="R172" s="168"/>
      <c r="S172" s="168"/>
      <c r="T172" s="168"/>
      <c r="U172" s="168"/>
      <c r="V172" s="168"/>
      <c r="W172" s="99"/>
      <c r="X172" s="96"/>
      <c r="AI172" t="s">
        <v>4136</v>
      </c>
      <c r="AJ172" s="114">
        <f>AJ171-AJ165</f>
        <v>158484177.80000007</v>
      </c>
      <c r="AM172" t="s">
        <v>25</v>
      </c>
    </row>
    <row r="173" spans="15:40">
      <c r="Q173" s="99"/>
      <c r="R173" s="99"/>
      <c r="S173" s="99"/>
      <c r="T173" s="99" t="s">
        <v>25</v>
      </c>
      <c r="U173" s="99"/>
      <c r="V173" s="99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99"/>
      <c r="R174" s="99"/>
      <c r="S174" s="99"/>
      <c r="T174" s="99"/>
      <c r="U174" s="99"/>
      <c r="V174" s="99"/>
      <c r="W174" s="99"/>
      <c r="X174" s="96"/>
      <c r="AI174" t="s">
        <v>4065</v>
      </c>
      <c r="AJ174" s="114">
        <f>AJ171-AJ170</f>
        <v>123700963.52758467</v>
      </c>
      <c r="AN174" t="s">
        <v>25</v>
      </c>
    </row>
    <row r="175" spans="15:40">
      <c r="Q175" s="99"/>
      <c r="R175" s="99"/>
      <c r="S175" s="99"/>
      <c r="T175" s="99"/>
      <c r="U175" s="99"/>
      <c r="V175" s="99"/>
      <c r="W175" s="99"/>
      <c r="X175" s="96"/>
      <c r="AM175" t="s">
        <v>25</v>
      </c>
    </row>
    <row r="176" spans="15:40">
      <c r="Q176" s="96"/>
      <c r="R176" s="96"/>
      <c r="S176" s="96"/>
      <c r="T176" s="96"/>
      <c r="V176" s="96"/>
      <c r="X176" s="115"/>
      <c r="AJ176" t="s">
        <v>25</v>
      </c>
    </row>
    <row r="177" spans="16:44">
      <c r="Q177" s="96"/>
      <c r="R177" s="96"/>
      <c r="S177" s="96"/>
      <c r="T177" s="96"/>
      <c r="V177" s="96"/>
    </row>
    <row r="178" spans="16:44">
      <c r="Q178" s="96"/>
      <c r="R178" s="96"/>
      <c r="S178" s="96"/>
      <c r="T178" s="96" t="s">
        <v>25</v>
      </c>
      <c r="V178" s="96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</row>
    <row r="181" spans="16:44">
      <c r="Q181" s="36" t="s">
        <v>4572</v>
      </c>
      <c r="R181" s="95">
        <f>SUM(N43:N50)</f>
        <v>689717714.80000007</v>
      </c>
      <c r="T181" s="113" t="s">
        <v>4462</v>
      </c>
      <c r="U181" s="56">
        <v>1000000</v>
      </c>
      <c r="V181" s="113">
        <v>239.024</v>
      </c>
      <c r="W181" s="113">
        <f t="shared" ref="W181:W248" si="41">U181*V181</f>
        <v>239024000</v>
      </c>
      <c r="X181" s="99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 t="s">
        <v>4453</v>
      </c>
      <c r="R182" s="95">
        <f>SUM(N21:N24)</f>
        <v>390979839.20000005</v>
      </c>
      <c r="T182" s="168" t="s">
        <v>4444</v>
      </c>
      <c r="U182" s="56">
        <v>5904</v>
      </c>
      <c r="V182" s="113">
        <v>237.148</v>
      </c>
      <c r="W182" s="113">
        <f t="shared" si="41"/>
        <v>1400121.7919999999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 t="s">
        <v>4454</v>
      </c>
      <c r="R183" s="95">
        <f>SUM(N27:N30)</f>
        <v>37302225.300000004</v>
      </c>
      <c r="T183" s="168" t="s">
        <v>4232</v>
      </c>
      <c r="U183" s="168">
        <v>1000</v>
      </c>
      <c r="V183" s="113">
        <v>247.393</v>
      </c>
      <c r="W183" s="113">
        <f t="shared" si="41"/>
        <v>247393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294</v>
      </c>
      <c r="AM183" s="99">
        <f t="shared" ref="AM183:AM211" si="43">AJ183*AL183</f>
        <v>505926078</v>
      </c>
      <c r="AN183" s="99" t="s">
        <v>4314</v>
      </c>
    </row>
    <row r="184" spans="16:44">
      <c r="Q184" s="99" t="s">
        <v>4455</v>
      </c>
      <c r="R184" s="95">
        <f>N41</f>
        <v>3096</v>
      </c>
      <c r="T184" s="168" t="s">
        <v>4498</v>
      </c>
      <c r="U184" s="168">
        <v>8071</v>
      </c>
      <c r="V184" s="113">
        <v>247.797</v>
      </c>
      <c r="W184" s="113">
        <f t="shared" si="41"/>
        <v>1999969.5870000001</v>
      </c>
      <c r="X184" s="99" t="s">
        <v>4451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243</v>
      </c>
      <c r="AM184" s="99">
        <f t="shared" si="43"/>
        <v>36450000</v>
      </c>
      <c r="AN184" s="99"/>
    </row>
    <row r="185" spans="16:44">
      <c r="Q185" s="99" t="s">
        <v>4456</v>
      </c>
      <c r="R185" s="95">
        <f>N20</f>
        <v>2701</v>
      </c>
      <c r="T185" s="168" t="s">
        <v>4498</v>
      </c>
      <c r="U185" s="168">
        <v>53672</v>
      </c>
      <c r="V185" s="113">
        <v>247.797</v>
      </c>
      <c r="W185" s="113">
        <f t="shared" si="41"/>
        <v>13299760.584000001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240</v>
      </c>
      <c r="AM185" s="99">
        <f t="shared" si="43"/>
        <v>-22800000</v>
      </c>
      <c r="AN185" s="99"/>
    </row>
    <row r="186" spans="16:44">
      <c r="Q186" s="99" t="s">
        <v>4457</v>
      </c>
      <c r="R186" s="95">
        <f>N26</f>
        <v>3686</v>
      </c>
      <c r="T186" s="168" t="s">
        <v>4506</v>
      </c>
      <c r="U186" s="168">
        <v>4099</v>
      </c>
      <c r="V186" s="113">
        <v>243.93</v>
      </c>
      <c r="W186" s="113">
        <f t="shared" si="41"/>
        <v>999869.07000000007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232</v>
      </c>
      <c r="AM186" s="99">
        <f t="shared" si="43"/>
        <v>730800000</v>
      </c>
      <c r="AN186" s="99"/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1"/>
        <v>2268792.9300000002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216</v>
      </c>
      <c r="AM187" s="99">
        <f t="shared" si="43"/>
        <v>-14040000</v>
      </c>
      <c r="AN187" s="99"/>
    </row>
    <row r="188" spans="16:44">
      <c r="P188" s="114"/>
      <c r="Q188" s="99" t="s">
        <v>4992</v>
      </c>
      <c r="R188" s="95">
        <v>2796360</v>
      </c>
      <c r="T188" s="168" t="s">
        <v>4512</v>
      </c>
      <c r="U188" s="168">
        <v>8334</v>
      </c>
      <c r="V188" s="113">
        <v>239.97</v>
      </c>
      <c r="W188" s="113">
        <f t="shared" si="41"/>
        <v>1999909.98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215</v>
      </c>
      <c r="AM188" s="99">
        <f t="shared" si="43"/>
        <v>-20425000</v>
      </c>
      <c r="AN188" s="99"/>
    </row>
    <row r="189" spans="16:44">
      <c r="Q189" s="99" t="s">
        <v>4905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1"/>
        <v>6779621.4499999993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209</v>
      </c>
      <c r="AM189" s="99">
        <f t="shared" si="43"/>
        <v>48488000</v>
      </c>
      <c r="AN189" s="99"/>
    </row>
    <row r="190" spans="16:44">
      <c r="P190" s="114"/>
      <c r="Q190" s="99" t="s">
        <v>5035</v>
      </c>
      <c r="R190" s="95">
        <v>0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1"/>
        <v>2999901.9310000003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202</v>
      </c>
      <c r="AM190" s="99">
        <f t="shared" si="43"/>
        <v>2626000000</v>
      </c>
      <c r="AN190" s="99"/>
    </row>
    <row r="191" spans="16:44">
      <c r="Q191" s="99" t="s">
        <v>4461</v>
      </c>
      <c r="R191" s="95">
        <f>SUM(R181:R190)</f>
        <v>1121005622.3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1"/>
        <v>-4000004.0599999996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200</v>
      </c>
      <c r="AM191" s="99">
        <f t="shared" si="43"/>
        <v>2000000000</v>
      </c>
      <c r="AN191" s="99"/>
    </row>
    <row r="192" spans="16:44">
      <c r="P192" s="96"/>
      <c r="Q192" s="96"/>
      <c r="S192" s="115"/>
      <c r="T192" s="168" t="s">
        <v>4623</v>
      </c>
      <c r="U192" s="168">
        <v>101681</v>
      </c>
      <c r="V192" s="113">
        <v>246.5711</v>
      </c>
      <c r="W192" s="113">
        <f t="shared" si="41"/>
        <v>25071596.019099999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197</v>
      </c>
      <c r="AM192" s="99">
        <f t="shared" si="43"/>
        <v>669800000</v>
      </c>
      <c r="AN192" s="99"/>
    </row>
    <row r="193" spans="15:44">
      <c r="Q193" s="96"/>
      <c r="R193" s="182"/>
      <c r="S193" s="115"/>
      <c r="T193" s="168" t="s">
        <v>4627</v>
      </c>
      <c r="U193" s="168">
        <v>66606</v>
      </c>
      <c r="V193" s="113">
        <v>251.131</v>
      </c>
      <c r="W193" s="113">
        <f t="shared" si="41"/>
        <v>16726831.386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43"/>
        <v>-1642464632</v>
      </c>
      <c r="AN193" s="99"/>
    </row>
    <row r="194" spans="15:44">
      <c r="Q194" s="96"/>
      <c r="R194" s="182"/>
      <c r="T194" s="168" t="s">
        <v>4633</v>
      </c>
      <c r="U194" s="168">
        <v>172025</v>
      </c>
      <c r="V194" s="113">
        <v>245.52809999999999</v>
      </c>
      <c r="W194" s="113">
        <f t="shared" si="41"/>
        <v>42236971.402499996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187</v>
      </c>
      <c r="AM194" s="99">
        <f t="shared" si="43"/>
        <v>103785000</v>
      </c>
      <c r="AN194" s="99"/>
    </row>
    <row r="195" spans="15:44">
      <c r="Q195" s="96"/>
      <c r="R195" s="115"/>
      <c r="T195" s="168" t="s">
        <v>4633</v>
      </c>
      <c r="U195" s="168">
        <v>189227</v>
      </c>
      <c r="V195" s="113">
        <v>245.52809999999999</v>
      </c>
      <c r="W195" s="113">
        <f t="shared" si="41"/>
        <v>46460545.778700002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182</v>
      </c>
      <c r="AM195" s="99">
        <f t="shared" si="43"/>
        <v>-81592056</v>
      </c>
      <c r="AN195" s="99"/>
    </row>
    <row r="196" spans="15:44">
      <c r="T196" s="168" t="s">
        <v>4636</v>
      </c>
      <c r="U196" s="168">
        <v>79720</v>
      </c>
      <c r="V196" s="113">
        <v>246.6568</v>
      </c>
      <c r="W196" s="113">
        <f t="shared" si="41"/>
        <v>19663480.096000001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176</v>
      </c>
      <c r="AM196" s="99">
        <f t="shared" si="43"/>
        <v>5847600</v>
      </c>
      <c r="AN196" s="99"/>
    </row>
    <row r="197" spans="15:44">
      <c r="P197" s="99" t="s">
        <v>8</v>
      </c>
      <c r="Q197" s="99" t="s">
        <v>4451</v>
      </c>
      <c r="R197" s="99"/>
      <c r="T197" s="168" t="s">
        <v>4636</v>
      </c>
      <c r="U197" s="168">
        <v>79720</v>
      </c>
      <c r="V197" s="113">
        <v>246.6568</v>
      </c>
      <c r="W197" s="113">
        <f t="shared" si="41"/>
        <v>19663480.096000001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176</v>
      </c>
      <c r="AM197" s="149">
        <f t="shared" si="43"/>
        <v>721340048</v>
      </c>
      <c r="AN197" s="149" t="s">
        <v>657</v>
      </c>
    </row>
    <row r="198" spans="15:44">
      <c r="P198" s="99"/>
      <c r="Q198" s="36" t="s">
        <v>180</v>
      </c>
      <c r="R198" s="99" t="s">
        <v>267</v>
      </c>
      <c r="T198" s="168" t="s">
        <v>4663</v>
      </c>
      <c r="U198" s="168">
        <v>17769</v>
      </c>
      <c r="V198" s="113">
        <v>246.17877999999999</v>
      </c>
      <c r="W198" s="113">
        <f t="shared" si="41"/>
        <v>4374350.7418200001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174</v>
      </c>
      <c r="AM198" s="149">
        <f t="shared" si="43"/>
        <v>-174000000</v>
      </c>
      <c r="AN198" s="149" t="s">
        <v>657</v>
      </c>
    </row>
    <row r="199" spans="15:44">
      <c r="O199" t="s">
        <v>25</v>
      </c>
      <c r="P199" s="99"/>
      <c r="Q199" s="99" t="s">
        <v>4444</v>
      </c>
      <c r="R199" s="95">
        <v>3000000</v>
      </c>
      <c r="T199" s="168" t="s">
        <v>4663</v>
      </c>
      <c r="U199" s="168">
        <v>17769</v>
      </c>
      <c r="V199" s="113">
        <v>246.17877999999999</v>
      </c>
      <c r="W199" s="113">
        <f t="shared" si="41"/>
        <v>4374350.7418200001</v>
      </c>
      <c r="X199" s="99" t="s">
        <v>452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167</v>
      </c>
      <c r="AM199" s="149">
        <f t="shared" si="43"/>
        <v>125250000</v>
      </c>
      <c r="AN199" s="149" t="s">
        <v>657</v>
      </c>
      <c r="AQ199" t="s">
        <v>25</v>
      </c>
    </row>
    <row r="200" spans="15:44">
      <c r="P200" s="99"/>
      <c r="Q200" s="99" t="s">
        <v>4498</v>
      </c>
      <c r="R200" s="95">
        <v>2000000</v>
      </c>
      <c r="T200" s="168" t="s">
        <v>4668</v>
      </c>
      <c r="U200" s="168">
        <v>12438</v>
      </c>
      <c r="V200" s="113">
        <v>241.20465999999999</v>
      </c>
      <c r="W200" s="113">
        <f t="shared" si="41"/>
        <v>3000103.5610799999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166</v>
      </c>
      <c r="AM200" s="196">
        <f t="shared" si="43"/>
        <v>-100289232</v>
      </c>
      <c r="AN200" s="196" t="s">
        <v>657</v>
      </c>
    </row>
    <row r="201" spans="15:44">
      <c r="P201" s="99"/>
      <c r="Q201" s="99" t="s">
        <v>4506</v>
      </c>
      <c r="R201" s="95">
        <v>1000000</v>
      </c>
      <c r="T201" s="168" t="s">
        <v>4678</v>
      </c>
      <c r="U201" s="168">
        <v>27363</v>
      </c>
      <c r="V201" s="113">
        <v>239.3886</v>
      </c>
      <c r="W201" s="113">
        <f t="shared" si="41"/>
        <v>6550390.2617999995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166</v>
      </c>
      <c r="AM201" s="99">
        <f t="shared" si="43"/>
        <v>-97455778</v>
      </c>
      <c r="AN201" s="99"/>
    </row>
    <row r="202" spans="15:44">
      <c r="P202" s="99"/>
      <c r="Q202" s="99" t="s">
        <v>4512</v>
      </c>
      <c r="R202" s="95">
        <v>2000000</v>
      </c>
      <c r="T202" s="168" t="s">
        <v>4678</v>
      </c>
      <c r="U202" s="168">
        <v>27363</v>
      </c>
      <c r="V202" s="113">
        <v>239.3886</v>
      </c>
      <c r="W202" s="113">
        <f t="shared" si="41"/>
        <v>6550390.2617999995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162</v>
      </c>
      <c r="AM202" s="196">
        <f t="shared" si="43"/>
        <v>-122204862</v>
      </c>
      <c r="AN202" s="196" t="s">
        <v>657</v>
      </c>
      <c r="AR202" t="s">
        <v>25</v>
      </c>
    </row>
    <row r="203" spans="15:44">
      <c r="P203" s="99"/>
      <c r="Q203" s="99" t="s">
        <v>994</v>
      </c>
      <c r="R203" s="95">
        <v>3000000</v>
      </c>
      <c r="T203" s="212" t="s">
        <v>4681</v>
      </c>
      <c r="U203" s="212">
        <v>27437</v>
      </c>
      <c r="V203" s="113">
        <v>242.4015</v>
      </c>
      <c r="W203" s="113">
        <f t="shared" si="41"/>
        <v>6650769.9555000002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162</v>
      </c>
      <c r="AM203" s="99">
        <f t="shared" si="43"/>
        <v>-30718278</v>
      </c>
      <c r="AN203" s="99"/>
    </row>
    <row r="204" spans="15:44">
      <c r="P204" s="99"/>
      <c r="Q204" s="99" t="s">
        <v>4668</v>
      </c>
      <c r="R204" s="95">
        <v>3000000</v>
      </c>
      <c r="T204" s="212" t="s">
        <v>4681</v>
      </c>
      <c r="U204" s="212">
        <v>29104</v>
      </c>
      <c r="V204" s="113">
        <v>242.4015</v>
      </c>
      <c r="W204" s="113">
        <f t="shared" si="41"/>
        <v>7054853.2560000001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147</v>
      </c>
      <c r="AM204" s="196">
        <f t="shared" si="43"/>
        <v>1043700</v>
      </c>
      <c r="AN204" s="196" t="s">
        <v>657</v>
      </c>
    </row>
    <row r="205" spans="15:44">
      <c r="P205" s="99" t="s">
        <v>4890</v>
      </c>
      <c r="Q205" s="99" t="s">
        <v>4884</v>
      </c>
      <c r="R205" s="95">
        <v>-800000</v>
      </c>
      <c r="T205" s="215" t="s">
        <v>4709</v>
      </c>
      <c r="U205" s="215">
        <v>8991</v>
      </c>
      <c r="V205" s="113">
        <v>238.64867000000001</v>
      </c>
      <c r="W205" s="113">
        <f t="shared" si="41"/>
        <v>2145690.19197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147</v>
      </c>
      <c r="AM205" s="20">
        <f t="shared" si="43"/>
        <v>-21741594</v>
      </c>
      <c r="AN205" s="20"/>
      <c r="AR205" t="s">
        <v>25</v>
      </c>
    </row>
    <row r="206" spans="15:44">
      <c r="P206" s="99" t="s">
        <v>4891</v>
      </c>
      <c r="Q206" s="99" t="s">
        <v>4884</v>
      </c>
      <c r="R206" s="95">
        <v>-900000</v>
      </c>
      <c r="T206" s="215" t="s">
        <v>4709</v>
      </c>
      <c r="U206" s="215">
        <v>8991</v>
      </c>
      <c r="V206" s="113">
        <v>238.64867000000001</v>
      </c>
      <c r="W206" s="113">
        <f t="shared" si="41"/>
        <v>2145690.19197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144</v>
      </c>
      <c r="AM206" s="196">
        <f t="shared" si="43"/>
        <v>-5356800</v>
      </c>
      <c r="AN206" s="149" t="s">
        <v>657</v>
      </c>
    </row>
    <row r="207" spans="15:44">
      <c r="P207" s="99" t="s">
        <v>4891</v>
      </c>
      <c r="Q207" s="99" t="s">
        <v>981</v>
      </c>
      <c r="R207" s="95">
        <v>-1100000</v>
      </c>
      <c r="T207" s="215" t="s">
        <v>4722</v>
      </c>
      <c r="U207" s="215">
        <v>18170</v>
      </c>
      <c r="V207" s="113">
        <v>240.48475999999999</v>
      </c>
      <c r="W207" s="113">
        <f t="shared" si="41"/>
        <v>4369608.0892000003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140</v>
      </c>
      <c r="AM207" s="20">
        <f t="shared" si="43"/>
        <v>-52125640</v>
      </c>
      <c r="AN207" s="99"/>
    </row>
    <row r="208" spans="15:44">
      <c r="P208" s="196" t="s">
        <v>1087</v>
      </c>
      <c r="Q208" s="196" t="s">
        <v>4920</v>
      </c>
      <c r="R208" s="244">
        <v>30000000</v>
      </c>
      <c r="S208" t="s">
        <v>25</v>
      </c>
      <c r="T208" s="215" t="s">
        <v>4722</v>
      </c>
      <c r="U208" s="215">
        <v>18170</v>
      </c>
      <c r="V208" s="113">
        <v>240.48475999999999</v>
      </c>
      <c r="W208" s="113">
        <f t="shared" si="41"/>
        <v>4369608.0892000003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119</v>
      </c>
      <c r="AM208" s="20">
        <f t="shared" si="43"/>
        <v>27972378</v>
      </c>
      <c r="AN208" s="99"/>
    </row>
    <row r="209" spans="16:45">
      <c r="P209" s="20" t="s">
        <v>5024</v>
      </c>
      <c r="Q209" s="20" t="s">
        <v>5020</v>
      </c>
      <c r="R209" s="249">
        <v>2000000</v>
      </c>
      <c r="T209" s="215" t="s">
        <v>4726</v>
      </c>
      <c r="U209" s="215">
        <v>36797</v>
      </c>
      <c r="V209" s="113">
        <v>239.0822</v>
      </c>
      <c r="W209" s="113">
        <f t="shared" si="41"/>
        <v>8797507.7134000007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119</v>
      </c>
      <c r="AM209" s="149">
        <f t="shared" si="43"/>
        <v>27972378</v>
      </c>
      <c r="AN209" s="149" t="s">
        <v>657</v>
      </c>
      <c r="AP209" t="s">
        <v>25</v>
      </c>
    </row>
    <row r="210" spans="16:45">
      <c r="P210" s="149" t="s">
        <v>5069</v>
      </c>
      <c r="Q210" s="149" t="s">
        <v>5068</v>
      </c>
      <c r="R210" s="150">
        <v>480105</v>
      </c>
      <c r="T210" s="215" t="s">
        <v>4726</v>
      </c>
      <c r="U210" s="215">
        <v>36797</v>
      </c>
      <c r="V210" s="113">
        <v>239.0822</v>
      </c>
      <c r="W210" s="113">
        <f t="shared" si="41"/>
        <v>8797507.7134000007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110</v>
      </c>
      <c r="AM210" s="149">
        <f t="shared" si="43"/>
        <v>49500000</v>
      </c>
      <c r="AN210" s="149" t="s">
        <v>657</v>
      </c>
    </row>
    <row r="211" spans="16:45">
      <c r="P211" s="99"/>
      <c r="Q211" s="99"/>
      <c r="R211" s="95"/>
      <c r="T211" s="215" t="s">
        <v>4736</v>
      </c>
      <c r="U211" s="215">
        <v>28066</v>
      </c>
      <c r="V211" s="113">
        <v>237.56970000000001</v>
      </c>
      <c r="W211" s="113">
        <f t="shared" si="41"/>
        <v>6667631.2002000008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110</v>
      </c>
      <c r="AM211" s="20">
        <f t="shared" si="43"/>
        <v>49500000</v>
      </c>
      <c r="AN211" s="20"/>
      <c r="AR211" t="s">
        <v>25</v>
      </c>
    </row>
    <row r="212" spans="16:45">
      <c r="P212" s="99"/>
      <c r="Q212" s="99"/>
      <c r="R212" s="95">
        <f>SUM(R199:R210)</f>
        <v>43680105</v>
      </c>
      <c r="T212" s="215" t="s">
        <v>4736</v>
      </c>
      <c r="U212" s="215">
        <v>28066</v>
      </c>
      <c r="V212" s="113">
        <v>237.56970000000001</v>
      </c>
      <c r="W212" s="113">
        <f t="shared" si="41"/>
        <v>6667631.2002000008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88</v>
      </c>
      <c r="AM212" s="149">
        <f t="shared" ref="AM212:AM215" si="46">AJ212*AL212</f>
        <v>26400000</v>
      </c>
      <c r="AN212" s="149"/>
      <c r="AQ212" t="s">
        <v>25</v>
      </c>
    </row>
    <row r="213" spans="16:45" ht="30">
      <c r="P213" s="99"/>
      <c r="Q213" s="99"/>
      <c r="R213" s="99" t="s">
        <v>6</v>
      </c>
      <c r="T213" s="215" t="s">
        <v>3684</v>
      </c>
      <c r="U213" s="215">
        <v>37457</v>
      </c>
      <c r="V213" s="113">
        <v>239.77</v>
      </c>
      <c r="W213" s="113">
        <f t="shared" si="41"/>
        <v>8981064.8900000006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88</v>
      </c>
      <c r="AM213" s="121">
        <f t="shared" si="46"/>
        <v>25426368</v>
      </c>
      <c r="AN213" s="207" t="s">
        <v>4738</v>
      </c>
    </row>
    <row r="214" spans="16:45">
      <c r="T214" s="215" t="s">
        <v>3684</v>
      </c>
      <c r="U214" s="215">
        <v>37457</v>
      </c>
      <c r="V214" s="113">
        <v>239.77</v>
      </c>
      <c r="W214" s="113">
        <f t="shared" si="41"/>
        <v>8981064.8900000006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85</v>
      </c>
      <c r="AM214" s="121">
        <f t="shared" si="46"/>
        <v>1526811735</v>
      </c>
      <c r="AN214" s="121" t="s">
        <v>4743</v>
      </c>
    </row>
    <row r="215" spans="16:45">
      <c r="Q215" s="96"/>
      <c r="R215" s="96" t="s">
        <v>25</v>
      </c>
      <c r="T215" s="215" t="s">
        <v>4749</v>
      </c>
      <c r="U215" s="215">
        <v>38412</v>
      </c>
      <c r="V215" s="113">
        <v>239.03</v>
      </c>
      <c r="W215" s="113">
        <f t="shared" si="41"/>
        <v>9181620.3599999994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84</v>
      </c>
      <c r="AM215" s="121">
        <f t="shared" si="46"/>
        <v>1542534924</v>
      </c>
      <c r="AN215" s="121" t="s">
        <v>4743</v>
      </c>
    </row>
    <row r="216" spans="16:45">
      <c r="Q216" s="96"/>
      <c r="R216" s="96"/>
      <c r="T216" s="215" t="s">
        <v>4749</v>
      </c>
      <c r="U216" s="215">
        <v>38412</v>
      </c>
      <c r="V216" s="113">
        <v>239.03</v>
      </c>
      <c r="W216" s="113">
        <f t="shared" si="41"/>
        <v>9181620.3599999994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83</v>
      </c>
      <c r="AM216" s="121">
        <f t="shared" ref="AM216:AM219" si="47">AJ216*AL216</f>
        <v>1960660611</v>
      </c>
      <c r="AN216" s="121" t="s">
        <v>4755</v>
      </c>
      <c r="AS216" t="s">
        <v>25</v>
      </c>
    </row>
    <row r="217" spans="16:45">
      <c r="T217" s="215" t="s">
        <v>4756</v>
      </c>
      <c r="U217" s="215">
        <v>49555</v>
      </c>
      <c r="V217" s="113">
        <v>238.345</v>
      </c>
      <c r="W217" s="113">
        <f t="shared" si="41"/>
        <v>11811186.475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78</v>
      </c>
      <c r="AM217" s="121">
        <f t="shared" si="47"/>
        <v>6434696424</v>
      </c>
      <c r="AN217" s="121" t="s">
        <v>4774</v>
      </c>
    </row>
    <row r="218" spans="16:45">
      <c r="Q218" s="99" t="s">
        <v>751</v>
      </c>
      <c r="R218" s="99"/>
      <c r="T218" s="215" t="s">
        <v>4756</v>
      </c>
      <c r="U218" s="215">
        <v>49555</v>
      </c>
      <c r="V218" s="113">
        <v>238.345</v>
      </c>
      <c r="W218" s="113">
        <f t="shared" si="41"/>
        <v>11811186.475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77</v>
      </c>
      <c r="AM218" s="121">
        <f t="shared" si="47"/>
        <v>5748632197</v>
      </c>
      <c r="AN218" s="121" t="s">
        <v>4781</v>
      </c>
    </row>
    <row r="219" spans="16:45">
      <c r="Q219" s="99" t="s">
        <v>4444</v>
      </c>
      <c r="R219" s="95">
        <v>172908000</v>
      </c>
      <c r="T219" s="215" t="s">
        <v>4773</v>
      </c>
      <c r="U219" s="215">
        <v>160187</v>
      </c>
      <c r="V219" s="113">
        <v>257.49799999999999</v>
      </c>
      <c r="W219" s="113">
        <f t="shared" si="41"/>
        <v>41247832.126000002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61</v>
      </c>
      <c r="AM219" s="20">
        <f t="shared" si="47"/>
        <v>40565000</v>
      </c>
      <c r="AN219" s="99"/>
    </row>
    <row r="220" spans="16:45">
      <c r="Q220" s="99" t="s">
        <v>4485</v>
      </c>
      <c r="R220" s="95">
        <v>1400000</v>
      </c>
      <c r="T220" s="215" t="s">
        <v>4773</v>
      </c>
      <c r="U220" s="215">
        <v>160187</v>
      </c>
      <c r="V220" s="113">
        <v>257.49799999999999</v>
      </c>
      <c r="W220" s="113">
        <f t="shared" si="41"/>
        <v>41247832.126000002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61</v>
      </c>
      <c r="AM220" s="196">
        <f t="shared" ref="AM220:AM221" si="48">AJ220*AL220</f>
        <v>40565000</v>
      </c>
      <c r="AN220" s="196"/>
    </row>
    <row r="221" spans="16:45">
      <c r="Q221" s="99" t="s">
        <v>4232</v>
      </c>
      <c r="R221" s="95">
        <v>247393</v>
      </c>
      <c r="S221" t="s">
        <v>25</v>
      </c>
      <c r="T221" s="215" t="s">
        <v>4782</v>
      </c>
      <c r="U221" s="215">
        <v>144401</v>
      </c>
      <c r="V221" s="113">
        <v>258.5061</v>
      </c>
      <c r="W221" s="113">
        <f t="shared" si="41"/>
        <v>37328539.346100003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57</v>
      </c>
      <c r="AM221" s="20">
        <f t="shared" si="48"/>
        <v>114000000</v>
      </c>
      <c r="AN221" s="99"/>
    </row>
    <row r="222" spans="16:45">
      <c r="Q222" s="99" t="s">
        <v>4231</v>
      </c>
      <c r="R222" s="95">
        <v>6780000</v>
      </c>
      <c r="T222" s="215" t="s">
        <v>4782</v>
      </c>
      <c r="U222" s="215">
        <v>144401</v>
      </c>
      <c r="V222" s="113">
        <v>258.5061</v>
      </c>
      <c r="W222" s="113">
        <f t="shared" si="41"/>
        <v>37328539.346100003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56</v>
      </c>
      <c r="AM222" s="20">
        <f t="shared" ref="AM222:AM227" si="49">AJ222*AL222</f>
        <v>-115400600</v>
      </c>
      <c r="AN222" s="99" t="s">
        <v>4885</v>
      </c>
    </row>
    <row r="223" spans="16:45">
      <c r="Q223" s="99" t="s">
        <v>4595</v>
      </c>
      <c r="R223" s="95">
        <v>-4000000</v>
      </c>
      <c r="T223" s="168" t="s">
        <v>4791</v>
      </c>
      <c r="U223" s="168">
        <v>196500</v>
      </c>
      <c r="V223" s="113">
        <v>254.452</v>
      </c>
      <c r="W223" s="113">
        <f t="shared" si="41"/>
        <v>49999818</v>
      </c>
      <c r="X223" s="99" t="s">
        <v>4798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56</v>
      </c>
      <c r="AM223" s="149">
        <f t="shared" si="49"/>
        <v>-24269000</v>
      </c>
      <c r="AN223" s="149" t="s">
        <v>4886</v>
      </c>
    </row>
    <row r="224" spans="16:45">
      <c r="Q224" s="99" t="s">
        <v>4627</v>
      </c>
      <c r="R224" s="95">
        <v>16727037</v>
      </c>
      <c r="T224" s="215" t="s">
        <v>4791</v>
      </c>
      <c r="U224" s="215">
        <v>2561</v>
      </c>
      <c r="V224" s="113">
        <v>254.536</v>
      </c>
      <c r="W224" s="113">
        <f t="shared" si="41"/>
        <v>651866.696</v>
      </c>
      <c r="X224" s="99" t="s">
        <v>4799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56</v>
      </c>
      <c r="AM224" s="20">
        <f t="shared" si="49"/>
        <v>1568000000</v>
      </c>
      <c r="AN224" s="99" t="s">
        <v>3891</v>
      </c>
    </row>
    <row r="225" spans="17:44">
      <c r="Q225" s="99" t="s">
        <v>4633</v>
      </c>
      <c r="R225" s="95">
        <v>46460683</v>
      </c>
      <c r="S225" t="s">
        <v>25</v>
      </c>
      <c r="T225" s="215" t="s">
        <v>4848</v>
      </c>
      <c r="U225" s="215">
        <v>-11795</v>
      </c>
      <c r="V225" s="113">
        <v>254.334</v>
      </c>
      <c r="W225" s="113">
        <f t="shared" si="41"/>
        <v>-2999869.5300000003</v>
      </c>
      <c r="X225" s="99" t="s">
        <v>4849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55</v>
      </c>
      <c r="AM225" s="20">
        <f t="shared" si="49"/>
        <v>8800000</v>
      </c>
      <c r="AN225" s="99"/>
    </row>
    <row r="226" spans="17:44">
      <c r="Q226" s="99" t="s">
        <v>4636</v>
      </c>
      <c r="R226" s="95">
        <v>19663646</v>
      </c>
      <c r="T226" s="215" t="s">
        <v>4848</v>
      </c>
      <c r="U226" s="215">
        <v>11795</v>
      </c>
      <c r="V226" s="113">
        <v>254.334</v>
      </c>
      <c r="W226" s="113">
        <f t="shared" si="41"/>
        <v>2999869.5300000003</v>
      </c>
      <c r="X226" s="99" t="s">
        <v>4850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55</v>
      </c>
      <c r="AM226" s="149">
        <f t="shared" si="49"/>
        <v>3850000</v>
      </c>
      <c r="AN226" s="149"/>
    </row>
    <row r="227" spans="17:44">
      <c r="Q227" s="99" t="s">
        <v>4663</v>
      </c>
      <c r="R227" s="95">
        <v>4374525</v>
      </c>
      <c r="T227" s="215" t="s">
        <v>4865</v>
      </c>
      <c r="U227" s="215">
        <v>260</v>
      </c>
      <c r="V227" s="113">
        <v>263.19</v>
      </c>
      <c r="W227" s="113">
        <f t="shared" si="41"/>
        <v>68429.399999999994</v>
      </c>
      <c r="X227" s="99" t="s">
        <v>452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46</v>
      </c>
      <c r="AM227" s="20">
        <f t="shared" si="49"/>
        <v>39100000</v>
      </c>
      <c r="AN227" s="99"/>
    </row>
    <row r="228" spans="17:44">
      <c r="Q228" s="99" t="s">
        <v>4678</v>
      </c>
      <c r="R228" s="95">
        <v>6550580</v>
      </c>
      <c r="T228" s="215" t="s">
        <v>4879</v>
      </c>
      <c r="U228" s="215">
        <v>15257</v>
      </c>
      <c r="V228" s="113">
        <v>262.19018</v>
      </c>
      <c r="W228" s="113">
        <f t="shared" si="41"/>
        <v>4000235.57626</v>
      </c>
      <c r="X228" s="99" t="s">
        <v>452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46</v>
      </c>
      <c r="AM228" s="196">
        <f t="shared" ref="AM228:AM249" si="51">AJ228*AL228</f>
        <v>920000</v>
      </c>
      <c r="AN228" s="196"/>
      <c r="AQ228" t="s">
        <v>25</v>
      </c>
    </row>
    <row r="229" spans="17:44">
      <c r="Q229" s="99" t="s">
        <v>4681</v>
      </c>
      <c r="R229" s="95">
        <v>6650895</v>
      </c>
      <c r="T229" s="215" t="s">
        <v>4879</v>
      </c>
      <c r="U229" s="215">
        <v>8444</v>
      </c>
      <c r="V229" s="113">
        <v>266.43029999999999</v>
      </c>
      <c r="W229" s="113">
        <f t="shared" si="41"/>
        <v>2249737.4531999999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42</v>
      </c>
      <c r="AM229" s="196">
        <f t="shared" si="51"/>
        <v>1260000000</v>
      </c>
      <c r="AN229" s="196" t="s">
        <v>4922</v>
      </c>
    </row>
    <row r="230" spans="17:44">
      <c r="Q230" s="99" t="s">
        <v>4709</v>
      </c>
      <c r="R230" s="95">
        <v>2145814</v>
      </c>
      <c r="T230" s="215" t="s">
        <v>4884</v>
      </c>
      <c r="U230" s="215">
        <v>-6209</v>
      </c>
      <c r="V230" s="113">
        <v>273.79649999999998</v>
      </c>
      <c r="W230" s="113">
        <f t="shared" si="41"/>
        <v>-1700002.4685</v>
      </c>
      <c r="X230" s="99" t="s">
        <v>4896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15</v>
      </c>
      <c r="AM230" s="20">
        <f t="shared" si="51"/>
        <v>16500000</v>
      </c>
      <c r="AN230" s="20"/>
    </row>
    <row r="231" spans="17:44">
      <c r="Q231" s="99" t="s">
        <v>4722</v>
      </c>
      <c r="R231" s="95">
        <v>4369730</v>
      </c>
      <c r="T231" s="215" t="s">
        <v>4884</v>
      </c>
      <c r="U231" s="215">
        <v>-8014</v>
      </c>
      <c r="V231" s="113">
        <v>273.79649999999998</v>
      </c>
      <c r="W231" s="113">
        <f t="shared" si="41"/>
        <v>-2194205.1510000001</v>
      </c>
      <c r="X231" s="99" t="s">
        <v>751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14</v>
      </c>
      <c r="AM231" s="20">
        <f t="shared" si="51"/>
        <v>6300000</v>
      </c>
      <c r="AN231" s="20"/>
    </row>
    <row r="232" spans="17:44">
      <c r="Q232" s="99" t="s">
        <v>4726</v>
      </c>
      <c r="R232" s="95">
        <v>8739459</v>
      </c>
      <c r="S232" t="s">
        <v>25</v>
      </c>
      <c r="T232" s="215" t="s">
        <v>4894</v>
      </c>
      <c r="U232" s="215">
        <v>-9176</v>
      </c>
      <c r="V232" s="113">
        <v>273.79649999999998</v>
      </c>
      <c r="W232" s="113">
        <f t="shared" si="41"/>
        <v>-2512356.6839999999</v>
      </c>
      <c r="X232" s="99" t="s">
        <v>452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14</v>
      </c>
      <c r="AM232" s="149">
        <f t="shared" si="51"/>
        <v>7700000</v>
      </c>
      <c r="AN232" s="149"/>
    </row>
    <row r="233" spans="17:44">
      <c r="Q233" s="99" t="s">
        <v>4736</v>
      </c>
      <c r="R233" s="95">
        <v>6667654</v>
      </c>
      <c r="T233" s="215" t="s">
        <v>4894</v>
      </c>
      <c r="U233" s="215">
        <v>1087</v>
      </c>
      <c r="V233" s="113">
        <v>273.79649999999998</v>
      </c>
      <c r="W233" s="113">
        <f t="shared" si="41"/>
        <v>297616.79550000001</v>
      </c>
      <c r="X233" s="99" t="s">
        <v>452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13</v>
      </c>
      <c r="AM233" s="149">
        <f t="shared" si="51"/>
        <v>13000000</v>
      </c>
      <c r="AN233" s="149"/>
    </row>
    <row r="234" spans="17:44">
      <c r="Q234" s="99" t="s">
        <v>4744</v>
      </c>
      <c r="R234" s="95">
        <v>8981245</v>
      </c>
      <c r="T234" s="215" t="s">
        <v>981</v>
      </c>
      <c r="U234" s="215">
        <v>-4017</v>
      </c>
      <c r="V234" s="113">
        <v>273.79649999999998</v>
      </c>
      <c r="W234" s="113">
        <f t="shared" si="41"/>
        <v>-1099840.5404999999</v>
      </c>
      <c r="X234" s="99" t="s">
        <v>4451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5</v>
      </c>
      <c r="AM234" s="20">
        <f t="shared" si="51"/>
        <v>-13344400</v>
      </c>
      <c r="AN234" s="20" t="s">
        <v>5034</v>
      </c>
    </row>
    <row r="235" spans="17:44">
      <c r="Q235" s="99" t="s">
        <v>4749</v>
      </c>
      <c r="R235" s="95">
        <v>9181756</v>
      </c>
      <c r="T235" s="215" t="s">
        <v>981</v>
      </c>
      <c r="U235" s="215">
        <v>4017</v>
      </c>
      <c r="V235" s="113">
        <v>273.79649999999998</v>
      </c>
      <c r="W235" s="113">
        <f t="shared" si="41"/>
        <v>1099840.5404999999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5</v>
      </c>
      <c r="AM235" s="149">
        <f t="shared" si="51"/>
        <v>-7643100</v>
      </c>
      <c r="AN235" s="149" t="s">
        <v>5034</v>
      </c>
    </row>
    <row r="236" spans="17:44">
      <c r="Q236" s="99" t="s">
        <v>4756</v>
      </c>
      <c r="R236" s="95">
        <v>11811208</v>
      </c>
      <c r="S236" t="s">
        <v>25</v>
      </c>
      <c r="T236" s="215" t="s">
        <v>4907</v>
      </c>
      <c r="U236" s="215">
        <v>3137</v>
      </c>
      <c r="V236" s="113">
        <v>283.69110000000001</v>
      </c>
      <c r="W236" s="113">
        <f t="shared" si="41"/>
        <v>889938.98070000007</v>
      </c>
      <c r="X236" s="99" t="s">
        <v>452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5</v>
      </c>
      <c r="AM236" s="20">
        <f t="shared" si="51"/>
        <v>250000000</v>
      </c>
      <c r="AN236" s="20"/>
      <c r="AR236" t="s">
        <v>25</v>
      </c>
    </row>
    <row r="237" spans="17:44">
      <c r="Q237" s="99" t="s">
        <v>4773</v>
      </c>
      <c r="R237" s="95">
        <v>41248054</v>
      </c>
      <c r="S237" t="s">
        <v>25</v>
      </c>
      <c r="T237" s="215" t="s">
        <v>4920</v>
      </c>
      <c r="U237" s="215">
        <v>101933</v>
      </c>
      <c r="V237" s="113">
        <v>294.30973999999998</v>
      </c>
      <c r="W237" s="113">
        <f t="shared" si="41"/>
        <v>29999874.727419998</v>
      </c>
      <c r="X237" s="99" t="s">
        <v>1087</v>
      </c>
      <c r="AH237" s="20">
        <v>56</v>
      </c>
      <c r="AI237" s="20" t="s">
        <v>5040</v>
      </c>
      <c r="AJ237" s="117">
        <v>400000</v>
      </c>
      <c r="AK237" s="20">
        <v>1</v>
      </c>
      <c r="AL237" s="20">
        <f>AK237+AL247</f>
        <v>1</v>
      </c>
      <c r="AM237" s="20">
        <f t="shared" si="51"/>
        <v>400000</v>
      </c>
      <c r="AN237" s="20"/>
      <c r="AR237" t="s">
        <v>25</v>
      </c>
    </row>
    <row r="238" spans="17:44">
      <c r="Q238" s="99" t="s">
        <v>4782</v>
      </c>
      <c r="R238" s="95">
        <v>37328780</v>
      </c>
      <c r="T238" s="215" t="s">
        <v>4932</v>
      </c>
      <c r="U238" s="215">
        <v>3407</v>
      </c>
      <c r="V238" s="113">
        <v>293.43799999999999</v>
      </c>
      <c r="W238" s="113">
        <f t="shared" si="41"/>
        <v>999743.26599999995</v>
      </c>
      <c r="X238" s="99" t="s">
        <v>452</v>
      </c>
      <c r="AH238" s="20"/>
      <c r="AI238" s="20"/>
      <c r="AJ238" s="117"/>
      <c r="AK238" s="20"/>
      <c r="AL238" s="20"/>
      <c r="AM238" s="20"/>
      <c r="AN238" s="20"/>
    </row>
    <row r="239" spans="17:44">
      <c r="Q239" s="99" t="s">
        <v>4884</v>
      </c>
      <c r="R239" s="95">
        <v>-2194100</v>
      </c>
      <c r="T239" s="215" t="s">
        <v>4933</v>
      </c>
      <c r="U239" s="215">
        <v>68796</v>
      </c>
      <c r="V239" s="113">
        <v>293.53250000000003</v>
      </c>
      <c r="W239" s="113">
        <f t="shared" si="41"/>
        <v>20193861.870000001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7:44">
      <c r="Q240" s="99" t="s">
        <v>4933</v>
      </c>
      <c r="R240" s="95">
        <v>20193916</v>
      </c>
      <c r="T240" s="215" t="s">
        <v>4933</v>
      </c>
      <c r="U240" s="215">
        <v>154791</v>
      </c>
      <c r="V240" s="113">
        <v>293.53250000000003</v>
      </c>
      <c r="W240" s="113">
        <f t="shared" si="41"/>
        <v>45436189.207500003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 t="s">
        <v>5020</v>
      </c>
      <c r="R241" s="95">
        <v>-2000000</v>
      </c>
      <c r="T241" s="215" t="s">
        <v>4933</v>
      </c>
      <c r="U241" s="215">
        <v>-11923</v>
      </c>
      <c r="V241" s="113">
        <v>293.53250000000003</v>
      </c>
      <c r="W241" s="113">
        <f t="shared" si="41"/>
        <v>-3499787.9975000005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/>
      <c r="R242" s="95"/>
      <c r="T242" s="215" t="s">
        <v>4952</v>
      </c>
      <c r="U242" s="215">
        <v>8424</v>
      </c>
      <c r="V242" s="113">
        <v>299.15170000000001</v>
      </c>
      <c r="W242" s="113">
        <f t="shared" si="41"/>
        <v>2520053.9208</v>
      </c>
      <c r="X242" s="99" t="s">
        <v>452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/>
      <c r="R243" s="95">
        <f>SUM(R219:R242)</f>
        <v>424236275</v>
      </c>
      <c r="T243" s="215" t="s">
        <v>4991</v>
      </c>
      <c r="U243" s="215">
        <v>15943</v>
      </c>
      <c r="V243" s="113">
        <v>307.34415000000001</v>
      </c>
      <c r="W243" s="113">
        <f t="shared" si="41"/>
        <v>4899987.78345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Q244" s="99"/>
      <c r="R244" s="99" t="s">
        <v>6</v>
      </c>
      <c r="T244" s="215" t="s">
        <v>5014</v>
      </c>
      <c r="U244" s="215">
        <v>3741</v>
      </c>
      <c r="V244" s="113">
        <v>307.34415000000001</v>
      </c>
      <c r="W244" s="113">
        <f t="shared" si="41"/>
        <v>1149774.4651500001</v>
      </c>
      <c r="X244" s="99" t="s">
        <v>452</v>
      </c>
      <c r="AH244" s="20"/>
      <c r="AI244" s="20"/>
      <c r="AJ244" s="117"/>
      <c r="AK244" s="20"/>
      <c r="AL244" s="20"/>
      <c r="AM244" s="20"/>
      <c r="AN244" s="20"/>
    </row>
    <row r="245" spans="17:43">
      <c r="S245" t="s">
        <v>25</v>
      </c>
      <c r="T245" s="215" t="s">
        <v>5020</v>
      </c>
      <c r="U245" s="215">
        <v>-6207</v>
      </c>
      <c r="V245" s="113">
        <v>322.214</v>
      </c>
      <c r="W245" s="113">
        <f t="shared" si="41"/>
        <v>-1999982.298</v>
      </c>
      <c r="X245" s="99" t="s">
        <v>751</v>
      </c>
      <c r="AH245" s="20"/>
      <c r="AI245" s="20"/>
      <c r="AJ245" s="117"/>
      <c r="AK245" s="20"/>
      <c r="AL245" s="20"/>
      <c r="AM245" s="20"/>
      <c r="AN245" s="20"/>
    </row>
    <row r="246" spans="17:43">
      <c r="T246" s="215" t="s">
        <v>5020</v>
      </c>
      <c r="U246" s="215">
        <v>6207</v>
      </c>
      <c r="V246" s="113">
        <v>322.214</v>
      </c>
      <c r="W246" s="113">
        <f t="shared" si="41"/>
        <v>1999982.298</v>
      </c>
      <c r="X246" s="99" t="s">
        <v>4451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452</v>
      </c>
      <c r="R247" s="99"/>
      <c r="T247" s="215" t="s">
        <v>4963</v>
      </c>
      <c r="U247" s="215">
        <v>776</v>
      </c>
      <c r="V247" s="113">
        <v>322.214</v>
      </c>
      <c r="W247" s="113">
        <f t="shared" si="41"/>
        <v>250038.06400000001</v>
      </c>
      <c r="X247" s="99" t="s">
        <v>452</v>
      </c>
      <c r="AH247" s="20"/>
      <c r="AI247" s="20"/>
      <c r="AJ247" s="117"/>
      <c r="AK247" s="20"/>
      <c r="AL247" s="20">
        <f t="shared" si="50"/>
        <v>0</v>
      </c>
      <c r="AM247" s="20">
        <f t="shared" si="51"/>
        <v>0</v>
      </c>
      <c r="AN247" s="20"/>
    </row>
    <row r="248" spans="17:43">
      <c r="Q248" s="99" t="s">
        <v>4444</v>
      </c>
      <c r="R248" s="95">
        <v>63115000</v>
      </c>
      <c r="T248" s="215" t="s">
        <v>5068</v>
      </c>
      <c r="U248" s="215">
        <v>1524</v>
      </c>
      <c r="V248" s="113">
        <v>314.95999999999998</v>
      </c>
      <c r="W248" s="113">
        <f t="shared" si="41"/>
        <v>479999.04</v>
      </c>
      <c r="X248" s="99" t="s">
        <v>1087</v>
      </c>
      <c r="AH248" s="99"/>
      <c r="AI248" s="99"/>
      <c r="AJ248" s="117"/>
      <c r="AK248" s="99"/>
      <c r="AL248" s="99">
        <f t="shared" si="50"/>
        <v>0</v>
      </c>
      <c r="AM248" s="20">
        <f t="shared" si="51"/>
        <v>0</v>
      </c>
      <c r="AN248" s="99"/>
    </row>
    <row r="249" spans="17:43">
      <c r="Q249" s="99" t="s">
        <v>4498</v>
      </c>
      <c r="R249" s="95">
        <v>13300000</v>
      </c>
      <c r="T249" s="168"/>
      <c r="U249" s="168"/>
      <c r="V249" s="113"/>
      <c r="W249" s="113"/>
      <c r="X249" s="99"/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4506</v>
      </c>
      <c r="R250" s="95">
        <v>2269000</v>
      </c>
      <c r="T250" s="168"/>
      <c r="U250" s="168">
        <f>SUM(U181:U249)</f>
        <v>3559194</v>
      </c>
      <c r="V250" s="99"/>
      <c r="W250" s="99"/>
      <c r="X250" s="99"/>
      <c r="Y250" t="s">
        <v>25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 t="s">
        <v>4623</v>
      </c>
      <c r="R251" s="95">
        <v>25071612</v>
      </c>
      <c r="T251" s="99"/>
      <c r="U251" s="99" t="s">
        <v>6</v>
      </c>
      <c r="V251" s="99"/>
      <c r="W251" s="99"/>
      <c r="X251" s="99"/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4633</v>
      </c>
      <c r="R252" s="95">
        <v>42236984</v>
      </c>
      <c r="T252" s="201" t="s">
        <v>4488</v>
      </c>
    </row>
    <row r="253" spans="17:43">
      <c r="Q253" s="99" t="s">
        <v>4636</v>
      </c>
      <c r="R253" s="95">
        <v>19663646</v>
      </c>
      <c r="T253" s="200">
        <f>R191/U250</f>
        <v>314.96052822633436</v>
      </c>
      <c r="AI253" t="s">
        <v>4061</v>
      </c>
      <c r="AJ253" s="114">
        <f>AJ250+AN250</f>
        <v>370266762.84558266</v>
      </c>
    </row>
    <row r="254" spans="17:43">
      <c r="Q254" s="99" t="s">
        <v>4663</v>
      </c>
      <c r="R254" s="95">
        <v>4374525</v>
      </c>
      <c r="W254" s="114"/>
      <c r="AI254" t="s">
        <v>4064</v>
      </c>
      <c r="AJ254" s="114">
        <f>SUM(N20:N30)</f>
        <v>428288451.50000006</v>
      </c>
    </row>
    <row r="255" spans="17:43">
      <c r="Q255" s="99" t="s">
        <v>4678</v>
      </c>
      <c r="R255" s="95">
        <v>6550580</v>
      </c>
      <c r="U255" s="96" t="s">
        <v>267</v>
      </c>
      <c r="V255" t="s">
        <v>4489</v>
      </c>
      <c r="X255" t="s">
        <v>25</v>
      </c>
      <c r="AI255" t="s">
        <v>4136</v>
      </c>
      <c r="AJ255" s="114">
        <f>AJ254-AJ250</f>
        <v>72468853.50000006</v>
      </c>
    </row>
    <row r="256" spans="17:43">
      <c r="Q256" s="99" t="s">
        <v>4681</v>
      </c>
      <c r="R256" s="95">
        <v>7054895</v>
      </c>
      <c r="T256" s="114"/>
      <c r="U256" s="113">
        <v>480105</v>
      </c>
      <c r="V256">
        <f>U256/T253</f>
        <v>1524.3338671790355</v>
      </c>
      <c r="X256" t="s">
        <v>25</v>
      </c>
      <c r="AI256" t="s">
        <v>943</v>
      </c>
      <c r="AJ256" s="114">
        <f>AN250</f>
        <v>14447164.845582679</v>
      </c>
    </row>
    <row r="257" spans="17:40">
      <c r="Q257" s="99" t="s">
        <v>4709</v>
      </c>
      <c r="R257" s="95">
        <v>2145814</v>
      </c>
      <c r="X257" t="s">
        <v>25</v>
      </c>
      <c r="AI257" t="s">
        <v>4065</v>
      </c>
      <c r="AJ257" s="114">
        <f>AJ255-AJ256</f>
        <v>58021688.654417381</v>
      </c>
      <c r="AN257" t="s">
        <v>25</v>
      </c>
    </row>
    <row r="258" spans="17:40">
      <c r="Q258" s="99" t="s">
        <v>4722</v>
      </c>
      <c r="R258" s="95">
        <v>4369730</v>
      </c>
      <c r="W258" s="225"/>
      <c r="X258" s="96" t="s">
        <v>25</v>
      </c>
      <c r="AN258" t="s">
        <v>25</v>
      </c>
    </row>
    <row r="259" spans="17:40">
      <c r="Q259" s="99" t="s">
        <v>4726</v>
      </c>
      <c r="R259" s="95">
        <v>8739459</v>
      </c>
    </row>
    <row r="260" spans="17:40">
      <c r="Q260" s="99" t="s">
        <v>4736</v>
      </c>
      <c r="R260" s="95">
        <v>6667654</v>
      </c>
    </row>
    <row r="261" spans="17:40" ht="60">
      <c r="Q261" s="99" t="s">
        <v>3684</v>
      </c>
      <c r="R261" s="95">
        <v>8981245</v>
      </c>
      <c r="T261" s="22" t="s">
        <v>4472</v>
      </c>
      <c r="V261" s="225"/>
      <c r="AN261" t="s">
        <v>25</v>
      </c>
    </row>
    <row r="262" spans="17:40" ht="45">
      <c r="Q262" s="99" t="s">
        <v>4749</v>
      </c>
      <c r="R262" s="95">
        <v>9181756</v>
      </c>
      <c r="T262" s="22" t="s">
        <v>4473</v>
      </c>
    </row>
    <row r="263" spans="17:40">
      <c r="Q263" s="99" t="s">
        <v>4756</v>
      </c>
      <c r="R263" s="95">
        <v>11811208</v>
      </c>
    </row>
    <row r="264" spans="17:40">
      <c r="Q264" s="99" t="s">
        <v>4773</v>
      </c>
      <c r="R264" s="95">
        <v>41248054</v>
      </c>
    </row>
    <row r="265" spans="17:40">
      <c r="Q265" s="99" t="s">
        <v>4782</v>
      </c>
      <c r="R265" s="95">
        <v>37328780</v>
      </c>
      <c r="T265" s="99" t="s">
        <v>4490</v>
      </c>
      <c r="U265" s="99" t="s">
        <v>4461</v>
      </c>
      <c r="V265" s="99" t="s">
        <v>953</v>
      </c>
    </row>
    <row r="266" spans="17:40">
      <c r="Q266" s="99" t="s">
        <v>4791</v>
      </c>
      <c r="R266" s="95">
        <v>50000000</v>
      </c>
      <c r="T266" s="95">
        <f>R212+R243+R282</f>
        <v>889879325</v>
      </c>
      <c r="U266" s="95">
        <f>R191</f>
        <v>1121005622.3</v>
      </c>
      <c r="V266" s="95">
        <f>U266-T266</f>
        <v>231126297.29999995</v>
      </c>
    </row>
    <row r="267" spans="17:40">
      <c r="Q267" s="99" t="s">
        <v>4865</v>
      </c>
      <c r="R267" s="95">
        <v>68656</v>
      </c>
      <c r="Y267" t="s">
        <v>25</v>
      </c>
    </row>
    <row r="268" spans="17:40">
      <c r="Q268" s="99" t="s">
        <v>4879</v>
      </c>
      <c r="R268" s="95">
        <v>4000236</v>
      </c>
    </row>
    <row r="269" spans="17:40">
      <c r="Q269" s="99" t="s">
        <v>4879</v>
      </c>
      <c r="R269" s="95">
        <v>2250000</v>
      </c>
    </row>
    <row r="270" spans="17:40">
      <c r="Q270" s="99" t="s">
        <v>4884</v>
      </c>
      <c r="R270" s="95">
        <v>-2512200</v>
      </c>
    </row>
    <row r="271" spans="17:40">
      <c r="Q271" s="99" t="s">
        <v>4894</v>
      </c>
      <c r="R271" s="95">
        <v>300000</v>
      </c>
      <c r="T271" t="s">
        <v>25</v>
      </c>
    </row>
    <row r="272" spans="17:40">
      <c r="Q272" s="99" t="s">
        <v>981</v>
      </c>
      <c r="R272" s="95">
        <v>1100000</v>
      </c>
      <c r="T272" t="s">
        <v>25</v>
      </c>
    </row>
    <row r="273" spans="17:20">
      <c r="Q273" s="99" t="s">
        <v>4907</v>
      </c>
      <c r="R273" s="95">
        <v>890000</v>
      </c>
    </row>
    <row r="274" spans="17:20">
      <c r="Q274" s="99" t="s">
        <v>4932</v>
      </c>
      <c r="R274" s="95">
        <v>1000000</v>
      </c>
      <c r="T274" t="s">
        <v>25</v>
      </c>
    </row>
    <row r="275" spans="17:20">
      <c r="Q275" s="99" t="s">
        <v>4933</v>
      </c>
      <c r="R275" s="95">
        <v>45436311</v>
      </c>
      <c r="T275" t="s">
        <v>25</v>
      </c>
    </row>
    <row r="276" spans="17:20">
      <c r="Q276" s="99" t="s">
        <v>4933</v>
      </c>
      <c r="R276" s="95">
        <v>-3500000</v>
      </c>
    </row>
    <row r="277" spans="17:20">
      <c r="Q277" s="99" t="s">
        <v>4952</v>
      </c>
      <c r="R277" s="95">
        <v>2520000</v>
      </c>
    </row>
    <row r="278" spans="17:20">
      <c r="Q278" s="99" t="s">
        <v>4991</v>
      </c>
      <c r="R278" s="95">
        <v>4900000</v>
      </c>
      <c r="T278" t="s">
        <v>25</v>
      </c>
    </row>
    <row r="279" spans="17:20">
      <c r="Q279" s="99" t="s">
        <v>5014</v>
      </c>
      <c r="R279" s="95">
        <v>1150000</v>
      </c>
      <c r="T279" t="s">
        <v>25</v>
      </c>
    </row>
    <row r="280" spans="17:20">
      <c r="Q280" s="99" t="s">
        <v>4963</v>
      </c>
      <c r="R280" s="95">
        <v>250000</v>
      </c>
    </row>
    <row r="281" spans="17:20">
      <c r="Q281" s="99"/>
      <c r="R281" s="95"/>
      <c r="T281" t="s">
        <v>25</v>
      </c>
    </row>
    <row r="282" spans="17:20">
      <c r="Q282" s="99"/>
      <c r="R282" s="95">
        <f>SUM(R248:R281)</f>
        <v>421962945</v>
      </c>
      <c r="T282" t="s">
        <v>25</v>
      </c>
    </row>
    <row r="283" spans="17:20">
      <c r="Q283" s="99"/>
      <c r="R283" s="99" t="s">
        <v>6</v>
      </c>
    </row>
    <row r="286" spans="17:20">
      <c r="T286" t="s">
        <v>25</v>
      </c>
    </row>
    <row r="287" spans="17:20">
      <c r="T287" t="s">
        <v>25</v>
      </c>
    </row>
    <row r="297" spans="16:16">
      <c r="P297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6 S111 S113:S114 S118 S137 P22 S103 S40 G126 S147:S148 P23 S124 S43 S152 S12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I86" zoomScale="90" zoomScaleNormal="90" workbookViewId="0">
      <selection activeCell="M116" sqref="M116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5040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5040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5040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5040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5040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5045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5049</v>
      </c>
      <c r="X52" s="215" t="s">
        <v>4538</v>
      </c>
      <c r="Y52" s="113">
        <v>4957.7</v>
      </c>
      <c r="Z52" s="215" t="s">
        <v>5045</v>
      </c>
      <c r="AA52" s="215" t="s">
        <v>4391</v>
      </c>
      <c r="AB52" s="215">
        <v>3589.3</v>
      </c>
      <c r="AC52" s="215" t="s">
        <v>5045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5049</v>
      </c>
      <c r="X53" s="215" t="s">
        <v>4538</v>
      </c>
      <c r="Y53" s="113">
        <v>4958</v>
      </c>
      <c r="Z53" s="215" t="s">
        <v>5045</v>
      </c>
      <c r="AA53" s="215" t="s">
        <v>4395</v>
      </c>
      <c r="AB53" s="215">
        <v>4730.8999999999996</v>
      </c>
      <c r="AC53" s="215" t="s">
        <v>5045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5049</v>
      </c>
      <c r="X54" s="215" t="s">
        <v>4538</v>
      </c>
      <c r="Y54" s="113">
        <v>4958</v>
      </c>
      <c r="Z54" s="215" t="s">
        <v>5045</v>
      </c>
      <c r="AA54" s="215" t="s">
        <v>4410</v>
      </c>
      <c r="AB54" s="215">
        <v>671.9</v>
      </c>
      <c r="AC54" s="215" t="s">
        <v>5045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5049</v>
      </c>
      <c r="X55" s="215" t="s">
        <v>4538</v>
      </c>
      <c r="Y55" s="113">
        <v>4958</v>
      </c>
      <c r="Z55" s="215" t="s">
        <v>5045</v>
      </c>
      <c r="AA55" s="215" t="s">
        <v>4243</v>
      </c>
      <c r="AB55" s="215">
        <v>194.4</v>
      </c>
      <c r="AC55" s="215" t="s">
        <v>5045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5036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5039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5046</v>
      </c>
      <c r="J112" s="189">
        <f t="shared" si="19"/>
        <v>-11559770</v>
      </c>
      <c r="K112" s="190" t="s">
        <v>5040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5052</v>
      </c>
      <c r="J113" s="113">
        <f t="shared" si="19"/>
        <v>-47970668</v>
      </c>
      <c r="K113" s="215" t="s">
        <v>5049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5060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351502</v>
      </c>
      <c r="K115" s="215" t="s">
        <v>5067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</row>
    <row r="116" spans="9:19">
      <c r="I116" s="215"/>
      <c r="J116" s="113">
        <f t="shared" si="19"/>
        <v>-673546379</v>
      </c>
      <c r="K116" s="215"/>
      <c r="L116" s="84"/>
      <c r="M116" s="84"/>
      <c r="N116" s="113">
        <f t="shared" si="27"/>
        <v>0</v>
      </c>
      <c r="O116" s="113">
        <f t="shared" si="28"/>
        <v>-385390359</v>
      </c>
      <c r="P116" s="113">
        <f t="shared" si="29"/>
        <v>-1058936738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2019-05-14T20:31:26Z</dcterms:modified>
</cp:coreProperties>
</file>