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لیست خرید و فروش" sheetId="32" r:id="rId31"/>
    <sheet name="اوراق بدون ریسک" sheetId="33" r:id="rId32"/>
  </sheets>
  <calcPr calcId="145621"/>
</workbook>
</file>

<file path=xl/calcChain.xml><?xml version="1.0" encoding="utf-8"?>
<calcChain xmlns="http://schemas.openxmlformats.org/spreadsheetml/2006/main">
  <c r="L23" i="18" l="1"/>
  <c r="N28" i="18"/>
  <c r="N25" i="18"/>
  <c r="D147" i="20"/>
  <c r="F26" i="32" l="1"/>
  <c r="F51" i="32"/>
  <c r="C33" i="32"/>
  <c r="C31" i="32"/>
  <c r="C30" i="32"/>
  <c r="C32" i="32"/>
  <c r="C29" i="32"/>
  <c r="L18" i="32"/>
  <c r="L20" i="32"/>
  <c r="L11" i="32"/>
  <c r="L16" i="32"/>
  <c r="L14" i="32"/>
  <c r="C28" i="32"/>
  <c r="J6" i="32"/>
  <c r="N7" i="32" s="1"/>
  <c r="J7" i="32"/>
  <c r="L13" i="32"/>
  <c r="L12" i="32"/>
  <c r="V2" i="33"/>
  <c r="F21" i="33"/>
  <c r="F14" i="33"/>
  <c r="G52" i="32"/>
  <c r="H52" i="32" s="1"/>
  <c r="G53" i="32"/>
  <c r="H53" i="32" s="1"/>
  <c r="G54" i="32"/>
  <c r="H54" i="32" s="1"/>
  <c r="G55" i="32"/>
  <c r="H55" i="32" s="1"/>
  <c r="G56" i="32"/>
  <c r="G50" i="32"/>
  <c r="H50" i="32" s="1"/>
  <c r="G51" i="32"/>
  <c r="H51" i="32" s="1"/>
  <c r="H58" i="32" l="1"/>
  <c r="O5" i="33"/>
  <c r="F29" i="33"/>
  <c r="F28" i="33"/>
  <c r="F27" i="33"/>
  <c r="F26" i="33"/>
  <c r="F2" i="33"/>
  <c r="F25" i="33"/>
  <c r="F24" i="33"/>
  <c r="F23" i="33"/>
  <c r="F22" i="33"/>
  <c r="F20" i="33"/>
  <c r="F19" i="33"/>
  <c r="F18" i="33"/>
  <c r="F17" i="33"/>
  <c r="F15" i="33"/>
  <c r="F13" i="33"/>
  <c r="F12" i="33"/>
  <c r="F11" i="33"/>
  <c r="F10" i="33"/>
  <c r="F9" i="33"/>
  <c r="F8" i="33"/>
  <c r="F7" i="33"/>
  <c r="F6" i="33"/>
  <c r="F5" i="33"/>
  <c r="F4" i="33"/>
  <c r="F16" i="33"/>
  <c r="F3" i="33"/>
  <c r="O44" i="33" l="1"/>
  <c r="O28" i="33"/>
  <c r="O20" i="33"/>
  <c r="O12" i="33"/>
  <c r="O3" i="33"/>
  <c r="O43" i="33"/>
  <c r="O35" i="33"/>
  <c r="O27" i="33"/>
  <c r="O19" i="33"/>
  <c r="O11" i="33"/>
  <c r="O2" i="33"/>
  <c r="Q2" i="33" s="1"/>
  <c r="O42" i="33"/>
  <c r="O34" i="33"/>
  <c r="O26" i="33"/>
  <c r="O18" i="33"/>
  <c r="O10" i="33"/>
  <c r="O49" i="33"/>
  <c r="O41" i="33"/>
  <c r="O33" i="33"/>
  <c r="O25" i="33"/>
  <c r="O17" i="33"/>
  <c r="O9" i="33"/>
  <c r="O48" i="33"/>
  <c r="O40" i="33"/>
  <c r="O32" i="33"/>
  <c r="O24" i="33"/>
  <c r="O16" i="33"/>
  <c r="O8" i="33"/>
  <c r="O7" i="33"/>
  <c r="O36" i="33"/>
  <c r="O47" i="33"/>
  <c r="O39" i="33"/>
  <c r="O31" i="33"/>
  <c r="O23" i="33"/>
  <c r="O15" i="33"/>
  <c r="O4" i="33"/>
  <c r="O46" i="33"/>
  <c r="O38" i="33"/>
  <c r="O30" i="33"/>
  <c r="O22" i="33"/>
  <c r="O14" i="33"/>
  <c r="O6" i="33"/>
  <c r="O45" i="33"/>
  <c r="O37" i="33"/>
  <c r="O29" i="33"/>
  <c r="O21" i="33"/>
  <c r="O13" i="33"/>
  <c r="P1" i="33"/>
  <c r="J3" i="32"/>
  <c r="J4" i="32"/>
  <c r="J5" i="32"/>
  <c r="M6" i="32"/>
  <c r="J2" i="32"/>
  <c r="M2" i="32" s="1"/>
  <c r="L4" i="32"/>
  <c r="L5" i="32"/>
  <c r="L6" i="32"/>
  <c r="L9" i="32"/>
  <c r="L10" i="32"/>
  <c r="L2" i="32"/>
  <c r="J9" i="32"/>
  <c r="J10" i="32"/>
  <c r="J11" i="32"/>
  <c r="J12" i="32"/>
  <c r="J13" i="32"/>
  <c r="J14" i="32"/>
  <c r="M14" i="32" s="1"/>
  <c r="J15" i="32"/>
  <c r="J16" i="32"/>
  <c r="M16" i="32" s="1"/>
  <c r="J17" i="32"/>
  <c r="J18" i="32"/>
  <c r="M18" i="32" s="1"/>
  <c r="J19" i="32"/>
  <c r="J20" i="32"/>
  <c r="M20" i="32" s="1"/>
  <c r="M12" i="32" l="1"/>
  <c r="N13" i="32"/>
  <c r="N11" i="32"/>
  <c r="M10" i="32"/>
  <c r="M4" i="32"/>
  <c r="N5" i="32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Q3" i="33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C41" i="32"/>
  <c r="C43" i="32" s="1"/>
  <c r="N21" i="18"/>
  <c r="N11" i="18"/>
  <c r="V14" i="18"/>
  <c r="O11" i="18"/>
  <c r="N10" i="18"/>
  <c r="C16" i="18"/>
  <c r="D185" i="15" l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88" i="15"/>
  <c r="F189" i="15"/>
  <c r="F190" i="15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E186" i="15"/>
  <c r="F186" i="15" s="1"/>
  <c r="F201" i="15" l="1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F61" i="16"/>
  <c r="F62" i="16"/>
  <c r="F63" i="16"/>
  <c r="F64" i="16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6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F102" i="13"/>
  <c r="F103" i="13"/>
  <c r="F104" i="13"/>
  <c r="F105" i="13"/>
  <c r="G105" i="13" s="1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E124" i="13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E125" i="13"/>
  <c r="G104" i="13" l="1"/>
  <c r="G103" i="13"/>
  <c r="H30" i="31"/>
  <c r="I30" i="31"/>
  <c r="G102" i="13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8" i="20"/>
  <c r="K149" i="20"/>
  <c r="K150" i="20"/>
  <c r="K151" i="20"/>
  <c r="K152" i="20"/>
  <c r="K153" i="20"/>
  <c r="K154" i="20"/>
  <c r="K155" i="20"/>
  <c r="J148" i="20"/>
  <c r="J149" i="20"/>
  <c r="J150" i="20"/>
  <c r="J151" i="20"/>
  <c r="J152" i="20"/>
  <c r="J153" i="20"/>
  <c r="J154" i="20"/>
  <c r="J155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J147" i="20" s="1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K147" i="20" s="1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I147" i="20" l="1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K75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1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B20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6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F14" i="18" l="1"/>
  <c r="L2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6" i="13" s="1"/>
  <c r="K66" i="20"/>
  <c r="J66" i="20"/>
  <c r="I66" i="20"/>
  <c r="F77" i="15"/>
  <c r="C51" i="18"/>
  <c r="G129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<sst xmlns="http://schemas.openxmlformats.org/spreadsheetml/2006/main" count="2474" uniqueCount="1064">
  <si>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</si>
  <si>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</si>
  <si>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</si>
  <si>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</si>
  <si>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</si>
  <si>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</si>
  <si>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</si>
  <si>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</si>
  <si>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</si>
  <si>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</si>
  <si>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</si>
  <si>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</si>
  <si>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</si>
  <si>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</si>
  <si>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</si>
  <si>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</si>
  <si>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</si>
  <si>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</si>
  <si>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</si>
  <si>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</si>
  <si>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</si>
  <si>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</si>
  <si>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</si>
  <si>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</si>
  <si>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</si>
  <si>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</si>
  <si>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</si>
  <si>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</si>
  <si>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</si>
  <si>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</si>
  <si>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</si>
  <si>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</si>
  <si>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</si>
  <si>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</si>
  <si>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</si>
  <si>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</si>
  <si>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</si>
  <si>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</si>
  <si>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</si>
  <si>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</si>
  <si>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</si>
  <si>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</si>
  <si>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</si>
  <si>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</si>
  <si>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</si>
  <si>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</si>
  <si>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</si>
  <si>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</si>
  <si>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</si>
  <si>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</si>
  <si>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</si>
  <si>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</si>
  <si>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</si>
  <si>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</si>
  <si>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</si>
  <si>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</si>
  <si>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</si>
  <si>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</si>
  <si>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</si>
  <si>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</si>
  <si>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</si>
  <si>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</si>
  <si>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</si>
  <si>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</si>
  <si>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</si>
  <si>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</si>
  <si>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</si>
  <si>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</si>
  <si>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</si>
  <si>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</si>
  <si>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</si>
  <si>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</si>
  <si>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</si>
  <si>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</si>
  <si>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</si>
  <si>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</si>
  <si>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</si>
  <si>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</si>
  <si>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</si>
  <si>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</si>
  <si>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</si>
  <si>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</si>
  <si>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</si>
  <si>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</si>
  <si>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</si>
  <si>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</si>
  <si>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</si>
  <si>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</si>
  <si>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</si>
  <si>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</si>
  <si>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</si>
  <si>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</si>
  <si>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</si>
  <si>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</si>
  <si>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</si>
  <si>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</si>
  <si>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</si>
  <si>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</si>
  <si>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</si>
  <si>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</si>
  <si>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</si>
  <si>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</si>
  <si>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</si>
  <si>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</si>
  <si>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</si>
  <si>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</si>
  <si>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</si>
  <si>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</si>
  <si>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</si>
  <si>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</si>
  <si>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</si>
  <si>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</si>
  <si>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</si>
  <si>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</si>
  <si>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</si>
  <si>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</si>
  <si>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</si>
  <si>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</si>
  <si>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</si>
  <si>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</si>
  <si>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</si>
  <si>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</si>
  <si>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</si>
  <si>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</si>
  <si>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</si>
  <si>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</si>
  <si>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</si>
  <si>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</si>
  <si>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</si>
  <si>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</si>
  <si>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</si>
  <si>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</si>
  <si>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</si>
  <si>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</si>
  <si>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</si>
  <si>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</si>
  <si>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</si>
  <si>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</si>
  <si>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</si>
  <si>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</si>
  <si>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</si>
  <si>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</si>
  <si>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</si>
  <si>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</si>
  <si>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</si>
  <si>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</si>
  <si>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</si>
  <si>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</si>
  <si>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</si>
  <si>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</si>
  <si>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</si>
  <si>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</si>
  <si>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</si>
  <si>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</si>
  <si>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</si>
  <si>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</si>
  <si>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</si>
  <si>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</si>
  <si>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</si>
  <si>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</si>
  <si>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</si>
  <si>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</si>
  <si>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</si>
  <si>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</si>
  <si>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</si>
  <si>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</si>
  <si>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</si>
  <si>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</si>
  <si>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</si>
  <si>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</si>
  <si>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</si>
  <si>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</si>
  <si>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</si>
  <si>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</si>
  <si>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</si>
  <si>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</si>
  <si>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</si>
  <si>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</si>
  <si>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</si>
  <si>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</si>
  <si>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</si>
  <si>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</si>
  <si>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</si>
  <si>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</si>
  <si>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</si>
  <si>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</si>
  <si>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</si>
  <si>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</si>
  <si>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</si>
  <si>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</si>
  <si>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</si>
  <si>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</si>
  <si>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</si>
  <si>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</si>
  <si>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</si>
  <si>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</si>
  <si>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</si>
  <si>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</si>
  <si>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</si>
  <si>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</si>
  <si>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</si>
  <si>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</si>
  <si>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</si>
  <si>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</si>
  <si>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</si>
  <si>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</si>
  <si>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</si>
  <si>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</si>
  <si>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</si>
  <si>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</si>
  <si>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</si>
  <si>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</si>
  <si>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</si>
  <si>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</si>
  <si>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</si>
  <si>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</si>
  <si>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</si>
  <si>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</si>
  <si>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</si>
  <si>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</si>
  <si>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</si>
  <si>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</si>
  <si>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</si>
  <si>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</si>
  <si>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</si>
  <si>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</si>
  <si>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</si>
  <si>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</si>
  <si>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</si>
  <si>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</si>
  <si>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</si>
  <si>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</si>
  <si>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</si>
  <si>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</si>
  <si>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</si>
  <si>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</si>
  <si>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</si>
  <si>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</si>
  <si>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</si>
  <si>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</si>
  <si>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</si>
  <si>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</si>
  <si>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</si>
  <si>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</si>
  <si>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</si>
  <si>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</si>
  <si>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</si>
  <si>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</si>
  <si>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</si>
  <si>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</si>
  <si>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</si>
  <si>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</si>
  <si>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</si>
  <si>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</si>
  <si>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</si>
  <si>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</si>
  <si>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</si>
  <si>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</si>
  <si>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</si>
  <si>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</si>
  <si>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</si>
  <si>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</si>
  <si>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</si>
  <si>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</si>
  <si>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</si>
  <si>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</si>
  <si>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</si>
  <si>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</si>
  <si>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</si>
  <si>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</si>
  <si>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</si>
  <si>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</si>
  <si>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</si>
  <si>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</si>
  <si>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</si>
  <si>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</si>
  <si>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</si>
  <si>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</si>
  <si>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</si>
  <si>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</si>
  <si>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</si>
  <si>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</si>
  <si>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</si>
  <si>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</si>
  <si>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</si>
  <si>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</si>
  <si>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</si>
  <si>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</si>
  <si>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</si>
  <si>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</si>
  <si>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</si>
  <si>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</si>
  <si>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</si>
  <si>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</si>
  <si>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</si>
  <si>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</si>
  <si>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</si>
  <si>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</si>
  <si>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</si>
  <si>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</si>
  <si>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</si>
  <si>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</si>
  <si>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</si>
  <si>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</si>
  <si>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</si>
  <si>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</si>
  <si>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</si>
  <si>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</si>
  <si>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</si>
  <si>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</si>
  <si>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</si>
  <si>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</si>
  <si>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</si>
  <si>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</si>
  <si>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</si>
  <si>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</si>
  <si>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</si>
  <si>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</si>
  <si>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</si>
  <si>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</si>
  <si>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</si>
  <si>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</si>
  <si>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</si>
  <si>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</si>
  <si>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</si>
  <si>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</si>
  <si>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</si>
  <si>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</si>
  <si>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</si>
  <si>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</si>
  <si>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</si>
  <si>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</si>
  <si>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</si>
  <si>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</si>
  <si>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</si>
  <si>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</si>
  <si>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</si>
  <si>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</si>
  <si>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</si>
  <si>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</si>
  <si>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</si>
  <si>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</si>
  <si>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</si>
  <si>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</si>
  <si>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</si>
  <si>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</si>
  <si>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</si>
  <si>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</si>
  <si>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</si>
  <si>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</si>
  <si>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</si>
  <si>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</si>
  <si>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</si>
  <si>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</si>
  <si>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</si>
  <si>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</si>
  <si>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</si>
  <si>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</si>
  <si>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</si>
  <si>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</si>
  <si>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</si>
  <si>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</si>
  <si>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</si>
  <si>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</si>
  <si>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</si>
  <si>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</si>
  <si>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</si>
  <si>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</si>
  <si>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</si>
  <si>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</si>
  <si>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</si>
  <si>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</si>
  <si>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</si>
  <si>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</si>
  <si>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</si>
  <si>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</si>
  <si>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</si>
  <si>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</si>
  <si>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</si>
  <si>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</si>
  <si>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</si>
  <si>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</si>
  <si>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</si>
  <si>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</si>
  <si>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</si>
  <si>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</si>
  <si>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</si>
  <si>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</si>
  <si>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</si>
  <si>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</si>
  <si>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</si>
  <si>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</si>
  <si>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</si>
  <si>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</si>
  <si>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</si>
  <si>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</si>
  <si>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</si>
  <si>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</si>
  <si>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</si>
  <si>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</si>
  <si>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</si>
  <si>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</si>
  <si>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</si>
  <si>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</si>
  <si>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</si>
  <si>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</si>
  <si>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</si>
  <si>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</si>
  <si>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</si>
  <si>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</si>
  <si>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</si>
  <si>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</si>
  <si>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</si>
  <si>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</si>
  <si>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</si>
  <si>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</si>
  <si>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</si>
  <si>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</si>
  <si>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</si>
  <si>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</si>
  <si>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</si>
  <si>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</si>
  <si>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</si>
  <si>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</si>
  <si>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</si>
  <si>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</si>
  <si>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</si>
  <si>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</si>
  <si>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</si>
  <si>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</si>
  <si>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</si>
  <si>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</si>
  <si>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</si>
  <si>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</si>
  <si>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</si>
  <si>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</si>
  <si>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</si>
  <si>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</si>
  <si>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</si>
  <si>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</si>
  <si>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</si>
  <si>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</si>
  <si>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</si>
  <si>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</si>
  <si>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</si>
  <si>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</si>
  <si>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</si>
  <si>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</si>
  <si>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</si>
  <si>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</si>
  <si>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</si>
  <si>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</si>
  <si>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</si>
  <si>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</si>
  <si>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</si>
  <si>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</si>
  <si>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</si>
  <si>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</si>
  <si>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</si>
  <si>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</si>
  <si>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</si>
  <si>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</si>
  <si>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</si>
  <si>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</si>
  <si>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</si>
  <si>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</si>
  <si>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</si>
  <si>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</si>
  <si>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</si>
  <si>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</si>
  <si>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</si>
  <si>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</si>
  <si>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</si>
  <si>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</si>
  <si>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</si>
  <si>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</si>
  <si>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</si>
  <si>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</si>
  <si>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</si>
  <si>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</si>
  <si>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</si>
  <si>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</si>
  <si>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</si>
  <si>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</si>
  <si>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</si>
  <si>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</si>
  <si>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</si>
  <si>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</si>
  <si>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</si>
  <si>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</si>
  <si>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</si>
  <si>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</si>
  <si>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</si>
  <si>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</si>
  <si>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</si>
  <si>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</si>
  <si>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</si>
  <si>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</si>
  <si>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</si>
  <si>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</si>
  <si>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</si>
  <si>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</si>
  <si>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</si>
  <si>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</si>
  <si>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</si>
  <si>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</si>
  <si>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</si>
  <si>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</si>
  <si>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</si>
  <si>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</si>
  <si>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</si>
  <si>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</si>
  <si>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</si>
  <si>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</si>
  <si>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</si>
  <si>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</si>
  <si>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</si>
  <si>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</si>
  <si>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</si>
  <si>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</si>
  <si>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</si>
  <si>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</si>
  <si>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</si>
  <si>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</si>
  <si>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</si>
  <si>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</si>
  <si>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</si>
  <si>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</si>
  <si>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</si>
  <si>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</si>
  <si>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</si>
  <si>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</si>
  <si>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</si>
  <si>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</si>
  <si>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</si>
  <si>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</si>
  <si>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</si>
  <si>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</si>
  <si>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</si>
  <si>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</si>
  <si>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</si>
  <si>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</si>
  <si>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</si>
  <si>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</si>
  <si>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</si>
  <si>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</si>
  <si>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</si>
  <si>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</si>
  <si>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</si>
  <si>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</si>
  <si>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</si>
  <si>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</si>
  <si>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</si>
  <si>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</si>
  <si>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</si>
  <si>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</si>
  <si>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</si>
  <si>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</si>
  <si>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</si>
  <si>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</si>
  <si>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</si>
  <si>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</si>
  <si>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</si>
  <si>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</si>
  <si>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</si>
  <si>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</si>
  <si>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</si>
  <si>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</si>
  <si>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</si>
  <si>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</si>
  <si>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</si>
  <si>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</si>
  <si>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</si>
  <si>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</si>
  <si>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</si>
  <si>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</si>
  <si>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</si>
  <si>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</si>
  <si>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</si>
  <si>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</si>
  <si>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</si>
  <si>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</si>
  <si>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</si>
  <si>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</si>
  <si>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</si>
  <si>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</si>
  <si>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</si>
  <si>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</si>
  <si>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</si>
  <si>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</si>
  <si>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</si>
  <si>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</si>
  <si>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</si>
  <si>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</si>
  <si>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</si>
  <si>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</si>
  <si>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</si>
  <si>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</si>
  <si>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</si>
  <si>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</si>
  <si>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</si>
  <si>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</si>
  <si>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</si>
  <si>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</si>
  <si>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</si>
  <si>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</si>
  <si>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</si>
  <si>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</si>
  <si>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</si>
  <si>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</si>
  <si>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</si>
  <si>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</si>
  <si>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</si>
  <si>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</si>
  <si>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</si>
  <si>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</si>
  <si>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</si>
  <si>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</si>
  <si>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</si>
  <si>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</si>
  <si>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</si>
  <si>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</si>
  <si>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</si>
  <si>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</si>
  <si>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</si>
  <si>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</si>
  <si>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</si>
  <si>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</si>
  <si>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</si>
  <si>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</si>
  <si>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</si>
  <si>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</si>
  <si>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</si>
  <si>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</si>
  <si>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</si>
  <si>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</si>
  <si>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</si>
  <si>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</si>
  <si>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</si>
  <si>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</si>
  <si>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</si>
  <si>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</si>
  <si>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</si>
  <si>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</si>
  <si>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</si>
  <si>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</si>
  <si>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</si>
  <si>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</si>
  <si>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</si>
  <si>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</si>
  <si>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</si>
  <si>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</si>
  <si>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</si>
  <si>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</si>
  <si>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</si>
  <si>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</si>
  <si>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</si>
  <si>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</si>
  <si>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</si>
  <si>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</si>
  <si>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</si>
  <si>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</si>
  <si>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</si>
  <si>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</si>
  <si>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</si>
  <si>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</si>
  <si>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</si>
  <si>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</si>
  <si>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</si>
  <si>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</si>
  <si>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</si>
  <si>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</si>
  <si>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</si>
  <si>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</si>
  <si>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</si>
  <si>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</si>
  <si>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</si>
  <si>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</si>
  <si>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</si>
  <si>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</si>
  <si>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</si>
  <si>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</si>
  <si>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</si>
  <si>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</si>
  <si>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</si>
  <si>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</si>
  <si>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</si>
  <si>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</si>
  <si>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</si>
  <si>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</si>
  <si>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</si>
  <si>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</si>
  <si>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</si>
  <si>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</si>
  <si>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</si>
  <si>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</si>
  <si>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</si>
  <si>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</si>
  <si>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</si>
  <si>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</si>
  <si>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</si>
  <si>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</si>
  <si>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</si>
  <si>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</si>
  <si>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</si>
  <si>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</si>
  <si>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</si>
  <si>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</si>
  <si>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</si>
  <si>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</si>
  <si>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</si>
  <si>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</si>
  <si>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</si>
  <si>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</si>
  <si>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</si>
  <si>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</si>
  <si>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</si>
  <si>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</si>
  <si>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</si>
  <si>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</si>
  <si>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</si>
  <si>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</si>
  <si>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</si>
  <si>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</si>
  <si>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</si>
  <si>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</si>
  <si>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</si>
  <si>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</si>
  <si>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</si>
  <si>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</si>
  <si>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</si>
  <si>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</si>
  <si>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</si>
  <si>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</si>
  <si>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</si>
  <si>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</si>
  <si>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</si>
  <si>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</si>
  <si>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</si>
  <si>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</si>
  <si>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</si>
  <si>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</si>
  <si>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</si>
  <si>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</si>
  <si>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</si>
  <si>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</si>
  <si>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</si>
  <si>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</si>
  <si>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</si>
  <si>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</si>
  <si>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</si>
  <si>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</si>
  <si>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</si>
  <si>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</si>
  <si>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</si>
  <si>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</si>
  <si>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</si>
  <si>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</si>
  <si>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</si>
  <si>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</si>
  <si>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</si>
  <si>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</si>
  <si>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</si>
  <si>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</si>
  <si>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</si>
  <si>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</si>
  <si>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</si>
  <si>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</si>
  <si>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</si>
  <si>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</si>
  <si>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</si>
  <si>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</si>
  <si>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</si>
  <si>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</si>
  <si>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</si>
  <si>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</si>
  <si>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</si>
  <si>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</si>
  <si>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</si>
  <si>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</si>
  <si>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</si>
  <si>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</si>
  <si>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</si>
  <si>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</si>
  <si>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</si>
  <si>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</si>
  <si>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</si>
  <si>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</si>
  <si>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</si>
  <si>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</si>
  <si>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</si>
  <si>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</si>
  <si>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</si>
  <si>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</si>
  <si>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</si>
  <si>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</si>
  <si>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</si>
  <si>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</si>
  <si>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</si>
  <si>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</si>
  <si>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</si>
  <si>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</si>
  <si>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</si>
  <si>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</si>
  <si>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</si>
  <si>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</si>
  <si>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</si>
  <si>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</si>
  <si>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</si>
  <si>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</si>
  <si>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</si>
  <si>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</si>
  <si>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</si>
  <si>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</si>
  <si>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</si>
  <si>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</si>
  <si>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</si>
  <si>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</si>
  <si>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</si>
  <si>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</si>
  <si>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</si>
  <si>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</si>
  <si>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</si>
  <si>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</si>
  <si>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</si>
  <si>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</si>
  <si>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</si>
  <si>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</si>
  <si>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</si>
  <si>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</si>
  <si>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</si>
  <si>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</si>
  <si>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</si>
  <si>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</si>
  <si>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</si>
  <si>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</si>
  <si>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</si>
  <si>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</si>
  <si>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</si>
  <si>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</si>
  <si>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</si>
  <si>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</si>
  <si>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</si>
  <si>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</si>
  <si>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</si>
  <si>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</si>
  <si>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</si>
  <si>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</si>
  <si>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</si>
  <si>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</si>
  <si>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</si>
  <si>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</si>
  <si>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</si>
  <si>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</si>
  <si>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</si>
  <si>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</si>
  <si>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</si>
  <si>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</si>
  <si>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</si>
  <si>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</si>
  <si>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</si>
  <si>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</si>
  <si>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</si>
  <si>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</si>
  <si>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</si>
  <si>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</si>
  <si>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</si>
  <si>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</si>
  <si>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</si>
  <si>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</si>
  <si>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</si>
  <si>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</si>
  <si>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</si>
  <si>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</si>
  <si>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</si>
  <si>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</si>
  <si>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</si>
  <si>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</si>
  <si>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</si>
  <si>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</si>
  <si>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</si>
  <si>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</si>
  <si>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</si>
  <si>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</si>
  <si>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</si>
  <si>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</si>
  <si>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</si>
  <si>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</si>
  <si>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</si>
  <si>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</si>
  <si>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</si>
  <si>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</si>
  <si>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</si>
  <si>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</si>
  <si>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</si>
  <si>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</si>
  <si>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</si>
  <si>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</si>
  <si>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</si>
  <si>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</si>
  <si>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</si>
  <si>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</si>
  <si>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</si>
  <si>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</si>
  <si>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</si>
  <si>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</si>
  <si>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</si>
  <si>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</si>
  <si>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</si>
  <si>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</si>
  <si>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</si>
  <si>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</si>
  <si>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</si>
  <si>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</si>
  <si>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</si>
  <si>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</si>
  <si>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</si>
  <si>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</si>
  <si>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</si>
  <si>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</si>
  <si>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</si>
  <si>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</si>
  <si>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</si>
  <si>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</si>
  <si>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</si>
  <si>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</si>
  <si>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</si>
  <si>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</si>
  <si>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</si>
  <si>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</si>
  <si>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</si>
  <si>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</si>
  <si>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</si>
  <si>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</si>
  <si>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</si>
  <si>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</si>
  <si>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</si>
  <si>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</si>
  <si>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</si>
  <si>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</si>
  <si>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</si>
  <si>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</si>
  <si>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</si>
  <si>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</si>
  <si>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</si>
  <si>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</si>
  <si>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</si>
  <si>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</si>
  <si>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</si>
  <si>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</si>
  <si>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</si>
  <si>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</si>
  <si>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</si>
  <si>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</si>
  <si>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</si>
  <si>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</si>
  <si>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</si>
  <si>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</si>
  <si>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</si>
  <si>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</si>
  <si>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</si>
  <si>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ردیف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</si>
  <si>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</si>
  <si>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</si>
  <si>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</si>
  <si>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</si>
  <si>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</si>
  <si>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</si>
  <si>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</si>
  <si>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نرخ سود سالیانه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</si>
  <si>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</si>
  <si>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</si>
  <si>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</si>
  <si>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</si>
  <si>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</si>
  <si>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</si>
  <si>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</si>
  <si>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مبلغ 463673 تومن سود روزهای گذشته را هم دادم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</si>
  <si>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</si>
  <si>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</si>
  <si>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</si>
  <si>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</si>
  <si>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</si>
  <si>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</si>
  <si>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</si>
  <si>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</si>
  <si>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مبلغ 463673 تومن سود روزهای گذشته را گرفتم</t>
  </si>
  <si>
    <t>قیمت عرضه فعلی</t>
  </si>
  <si>
    <t>دارایی</t>
  </si>
  <si>
    <t>نقد در حساب کارگزاری</t>
  </si>
  <si>
    <t>اشاد 5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</si>
  <si>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</si>
  <si>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</si>
  <si>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</si>
  <si>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</si>
  <si>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</si>
  <si>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</si>
  <si>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</si>
  <si>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</si>
  <si>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</si>
  <si>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</si>
  <si>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</si>
  <si>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</si>
  <si>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</si>
  <si>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</si>
  <si>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</si>
  <si>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افاد2</t>
  </si>
  <si>
    <t>نرخ سود</t>
  </si>
  <si>
    <t xml:space="preserve">بازه پرداخت سود </t>
  </si>
  <si>
    <t>ارزش خرید</t>
  </si>
  <si>
    <t>26/6/1400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</si>
  <si>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</si>
  <si>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</si>
  <si>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</si>
  <si>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</si>
  <si>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</si>
  <si>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</si>
  <si>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</si>
  <si>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</si>
  <si>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</si>
  <si>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</si>
  <si>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</si>
  <si>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</si>
  <si>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</si>
  <si>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</si>
  <si>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</si>
  <si>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</si>
  <si>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</si>
  <si>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</si>
  <si>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</si>
  <si>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</si>
  <si>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</si>
  <si>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</si>
  <si>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</si>
  <si>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</si>
  <si>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</si>
  <si>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</si>
  <si>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</si>
  <si>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</si>
  <si>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</si>
  <si>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تضمین</t>
  </si>
  <si>
    <t>تامین اجتماعی</t>
  </si>
  <si>
    <t>11/9/1398</t>
  </si>
  <si>
    <t>13/9/1397</t>
  </si>
  <si>
    <t>14/11/1398</t>
  </si>
  <si>
    <t>16/10/1398</t>
  </si>
  <si>
    <t>ماه تا سررسید</t>
  </si>
  <si>
    <t>تاریخ مرجع</t>
  </si>
  <si>
    <t>25/12/1396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</si>
  <si>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</si>
  <si>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</si>
  <si>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</si>
  <si>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</si>
  <si>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</si>
  <si>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</si>
  <si>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</si>
  <si>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</si>
  <si>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سود اشاد6</t>
  </si>
  <si>
    <t>سود اشاد 6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</si>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</sst>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164" fontId="0" fillId="18" borderId="1" xfId="0" applyNumberFormat="1" applyFill="1" applyBorder="1" applyAlignment="1">
      <alignment horizontal="center"/>
    </xf>
    <xf numFmtId="164" fontId="0" fillId="18" borderId="1" xfId="0" applyNumberForma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1061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8157987</v>
      </c>
      <c r="C24" s="3">
        <f>SUM(C2:C22)</f>
        <v>7485814</v>
      </c>
      <c r="D24" s="3">
        <f>SUM(D2:D22)</f>
        <v>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257229.89315068492</v>
      </c>
      <c r="H30" s="18">
        <f>G30*H25/G25</f>
        <v>66754.498630136979</v>
      </c>
      <c r="I30" s="18">
        <f>G30*I25/G25</f>
        <v>190475.39452054794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1059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6636922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8" sqref="F1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7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5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1060</v>
      </c>
      <c r="F147" s="11">
        <v>1</v>
      </c>
      <c r="G147" s="36">
        <f t="shared" si="17"/>
        <v>1</v>
      </c>
      <c r="H147" s="11">
        <f t="shared" si="14"/>
        <v>0</v>
      </c>
      <c r="I147" s="11">
        <f t="shared" si="13"/>
        <v>-27000000</v>
      </c>
      <c r="J147" s="11">
        <f t="shared" si="15"/>
        <v>0</v>
      </c>
      <c r="K147" s="11">
        <f t="shared" si="16"/>
        <v>-27000000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8157627</v>
      </c>
      <c r="C156" s="29">
        <f>SUM(C2:C154)</f>
        <v>7485814</v>
      </c>
      <c r="D156" s="29">
        <f>SUM(D2:D154)</f>
        <v>671813</v>
      </c>
      <c r="E156" s="11"/>
      <c r="F156" s="11"/>
      <c r="G156" s="11"/>
      <c r="H156" s="11"/>
      <c r="I156" s="29">
        <f>SUM(I2:I155)</f>
        <v>15111327732</v>
      </c>
      <c r="J156" s="29">
        <f>SUM(J2:J155)</f>
        <v>5923534667</v>
      </c>
      <c r="K156" s="29">
        <f>SUM(K2:K155)</f>
        <v>9187793065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24255742.747993581</v>
      </c>
      <c r="J159" s="29">
        <f>J156/G2</f>
        <v>9508081.3274478335</v>
      </c>
      <c r="K159" s="29">
        <f>K156/G2</f>
        <v>14747661.420545746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567878.68876486039</v>
      </c>
      <c r="K163">
        <f>K156/I156*1448696</f>
        <v>880817.31123513961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"/>
  <sheetViews>
    <sheetView zoomScaleNormal="100" workbookViewId="0">
      <pane ySplit="1" topLeftCell="A96" activePane="bottomLeft" state="frozen"/>
      <selection pane="bottomLeft" activeCell="D106" sqref="D106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473</v>
      </c>
      <c r="F2" s="11">
        <f>IF(B2&gt;0,1,0)</f>
        <v>1</v>
      </c>
      <c r="G2" s="11">
        <f>B2*(E2-F2)</f>
        <v>23600000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469</v>
      </c>
      <c r="F3" s="11">
        <f t="shared" ref="F3:F38" si="1">IF(B3&gt;0,1,0)</f>
        <v>1</v>
      </c>
      <c r="G3" s="11">
        <f t="shared" ref="G3:G23" si="2">B3*(E3-F3)</f>
        <v>1404000000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468</v>
      </c>
      <c r="F4" s="11">
        <f t="shared" si="1"/>
        <v>1</v>
      </c>
      <c r="G4" s="11">
        <f t="shared" si="2"/>
        <v>1401000000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468</v>
      </c>
      <c r="F5" s="11">
        <f t="shared" si="1"/>
        <v>1</v>
      </c>
      <c r="G5" s="11">
        <f t="shared" si="2"/>
        <v>7005000000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467</v>
      </c>
      <c r="F6" s="11">
        <f t="shared" si="1"/>
        <v>1</v>
      </c>
      <c r="G6" s="11">
        <f t="shared" si="2"/>
        <v>1398000000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466</v>
      </c>
      <c r="F7" s="11">
        <f t="shared" si="1"/>
        <v>0</v>
      </c>
      <c r="G7" s="11">
        <f t="shared" si="2"/>
        <v>-1398000000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466</v>
      </c>
      <c r="F8" s="11">
        <f t="shared" si="1"/>
        <v>0</v>
      </c>
      <c r="G8" s="11">
        <f t="shared" si="2"/>
        <v>-93200000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466</v>
      </c>
      <c r="F9" s="11">
        <f t="shared" si="1"/>
        <v>1</v>
      </c>
      <c r="G9" s="11">
        <f>B9*(E9-F9)</f>
        <v>1395000000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465</v>
      </c>
      <c r="F10" s="11">
        <f t="shared" si="1"/>
        <v>1</v>
      </c>
      <c r="G10" s="11">
        <f t="shared" si="2"/>
        <v>1392000000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465</v>
      </c>
      <c r="F11" s="11">
        <f t="shared" si="1"/>
        <v>1</v>
      </c>
      <c r="G11" s="11">
        <f t="shared" si="2"/>
        <v>11600000000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462</v>
      </c>
      <c r="F12" s="11">
        <f t="shared" si="1"/>
        <v>1</v>
      </c>
      <c r="G12" s="11">
        <f t="shared" si="2"/>
        <v>460230130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462</v>
      </c>
      <c r="F13" s="11">
        <f t="shared" si="1"/>
        <v>1</v>
      </c>
      <c r="G13" s="11">
        <f t="shared" si="2"/>
        <v>1383000000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462</v>
      </c>
      <c r="F14" s="11">
        <f t="shared" si="1"/>
        <v>1</v>
      </c>
      <c r="G14" s="11">
        <f t="shared" si="2"/>
        <v>549095256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450</v>
      </c>
      <c r="F15" s="11">
        <f t="shared" si="1"/>
        <v>1</v>
      </c>
      <c r="G15" s="11">
        <f t="shared" si="2"/>
        <v>898000000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438</v>
      </c>
      <c r="F16" s="11">
        <f t="shared" si="1"/>
        <v>1</v>
      </c>
      <c r="G16" s="11">
        <f t="shared" si="2"/>
        <v>1311000000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437</v>
      </c>
      <c r="F17" s="11">
        <f t="shared" si="1"/>
        <v>1</v>
      </c>
      <c r="G17" s="11">
        <f t="shared" si="2"/>
        <v>1308000000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436</v>
      </c>
      <c r="F18" s="11">
        <f t="shared" si="1"/>
        <v>1</v>
      </c>
      <c r="G18" s="11">
        <f t="shared" si="2"/>
        <v>826500000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421</v>
      </c>
      <c r="F19" s="11">
        <f t="shared" si="1"/>
        <v>1</v>
      </c>
      <c r="G19" s="11">
        <f t="shared" si="2"/>
        <v>337895460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420</v>
      </c>
      <c r="F20" s="11">
        <f t="shared" si="1"/>
        <v>1</v>
      </c>
      <c r="G20" s="11">
        <f t="shared" si="2"/>
        <v>1257000000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414</v>
      </c>
      <c r="F21" s="11">
        <f t="shared" si="1"/>
        <v>1</v>
      </c>
      <c r="G21" s="11">
        <f t="shared" si="2"/>
        <v>206500000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400</v>
      </c>
      <c r="F22" s="11">
        <f t="shared" si="1"/>
        <v>0</v>
      </c>
      <c r="G22" s="11">
        <f t="shared" si="2"/>
        <v>-1200000000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392</v>
      </c>
      <c r="F23" s="11">
        <f t="shared" si="1"/>
        <v>1</v>
      </c>
      <c r="G23" s="11">
        <f t="shared" si="2"/>
        <v>1173000000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392</v>
      </c>
      <c r="F24" s="11">
        <f t="shared" si="1"/>
        <v>1</v>
      </c>
      <c r="G24" s="11">
        <f>B24*(E24-F24)</f>
        <v>246659613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390</v>
      </c>
      <c r="F25" s="11">
        <f t="shared" si="1"/>
        <v>0</v>
      </c>
      <c r="G25" s="11">
        <f t="shared" ref="G25:G30" si="3">B25*(E25-F25)</f>
        <v>-1248351000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388</v>
      </c>
      <c r="F26" s="11">
        <f t="shared" si="1"/>
        <v>0</v>
      </c>
      <c r="G26" s="11">
        <f t="shared" si="3"/>
        <v>-1164349200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386</v>
      </c>
      <c r="F27" s="11">
        <f t="shared" si="1"/>
        <v>1</v>
      </c>
      <c r="G27" s="11">
        <f t="shared" si="3"/>
        <v>385000000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386</v>
      </c>
      <c r="F28" s="11">
        <f t="shared" si="1"/>
        <v>1</v>
      </c>
      <c r="G28" s="11">
        <f t="shared" si="3"/>
        <v>2310000000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386</v>
      </c>
      <c r="F29" s="11">
        <f t="shared" si="1"/>
        <v>1</v>
      </c>
      <c r="G29" s="11">
        <f t="shared" si="3"/>
        <v>2233000000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386</v>
      </c>
      <c r="F30" s="11">
        <f t="shared" si="1"/>
        <v>0</v>
      </c>
      <c r="G30" s="11">
        <f t="shared" si="3"/>
        <v>-1930000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385</v>
      </c>
      <c r="F31" s="11">
        <f t="shared" si="1"/>
        <v>0</v>
      </c>
      <c r="G31" s="11">
        <f>B31*(E31-F31)</f>
        <v>-10010000000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383</v>
      </c>
      <c r="F32" s="11">
        <f t="shared" si="1"/>
        <v>0</v>
      </c>
      <c r="G32" s="11">
        <f>B32*(E32-F32)</f>
        <v>-10034600000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364</v>
      </c>
      <c r="F33" s="11">
        <f t="shared" si="1"/>
        <v>1</v>
      </c>
      <c r="G33" s="11">
        <f>B33*(E33-F33)</f>
        <v>118702815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346</v>
      </c>
      <c r="F34" s="11">
        <f t="shared" si="1"/>
        <v>1</v>
      </c>
      <c r="G34" s="11">
        <f t="shared" ref="G34:G125" si="4">B34*(E34-F34)</f>
        <v>9798000000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346</v>
      </c>
      <c r="F35" s="11">
        <f t="shared" si="1"/>
        <v>1</v>
      </c>
      <c r="G35" s="12">
        <f t="shared" si="4"/>
        <v>3795000000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331</v>
      </c>
      <c r="F36" s="11">
        <f t="shared" si="1"/>
        <v>1</v>
      </c>
      <c r="G36" s="11">
        <f t="shared" si="4"/>
        <v>138171330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331</v>
      </c>
      <c r="F37" s="11">
        <f t="shared" si="1"/>
        <v>0</v>
      </c>
      <c r="G37" s="11">
        <f t="shared" si="4"/>
        <v>-297900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330</v>
      </c>
      <c r="F38" s="11">
        <f t="shared" si="1"/>
        <v>1</v>
      </c>
      <c r="G38" s="12">
        <f t="shared" si="4"/>
        <v>658000000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330</v>
      </c>
      <c r="F39" s="11">
        <f>IF(B39&gt;0,1,0)</f>
        <v>1</v>
      </c>
      <c r="G39" s="11">
        <f t="shared" si="4"/>
        <v>658000000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316</v>
      </c>
      <c r="F40" s="11">
        <f>IF(B40&gt;0,1,0)</f>
        <v>0</v>
      </c>
      <c r="G40" s="11">
        <f t="shared" si="4"/>
        <v>-63200000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316</v>
      </c>
      <c r="F41" s="11">
        <f>IF(B41&gt;0,1,0)</f>
        <v>0</v>
      </c>
      <c r="G41" s="11">
        <f t="shared" si="4"/>
        <v>-195920000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316</v>
      </c>
      <c r="F42" s="11">
        <f t="shared" ref="F42:F125" si="5">IF(B42&gt;0,1,0)</f>
        <v>0</v>
      </c>
      <c r="G42" s="11">
        <f t="shared" si="4"/>
        <v>-37920000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314</v>
      </c>
      <c r="F43" s="11">
        <f t="shared" si="5"/>
        <v>1</v>
      </c>
      <c r="G43" s="11">
        <f t="shared" si="4"/>
        <v>203450000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314</v>
      </c>
      <c r="F44" s="11">
        <f t="shared" si="5"/>
        <v>0</v>
      </c>
      <c r="G44" s="11">
        <f t="shared" si="4"/>
        <v>-1570000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314</v>
      </c>
      <c r="F45" s="11">
        <f t="shared" si="5"/>
        <v>1</v>
      </c>
      <c r="G45" s="11">
        <f t="shared" si="4"/>
        <v>9077000000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310</v>
      </c>
      <c r="F46" s="11">
        <f t="shared" si="5"/>
        <v>0</v>
      </c>
      <c r="G46" s="11">
        <f t="shared" si="4"/>
        <v>-62000000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307</v>
      </c>
      <c r="F47" s="11">
        <f t="shared" si="5"/>
        <v>0</v>
      </c>
      <c r="G47" s="11">
        <f t="shared" si="4"/>
        <v>-61400000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306</v>
      </c>
      <c r="F48" s="11">
        <f t="shared" si="5"/>
        <v>0</v>
      </c>
      <c r="G48" s="11">
        <f t="shared" si="4"/>
        <v>-61200000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301</v>
      </c>
      <c r="F49" s="11">
        <f t="shared" si="5"/>
        <v>1</v>
      </c>
      <c r="G49" s="11">
        <f t="shared" si="4"/>
        <v>900000000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301</v>
      </c>
      <c r="F50" s="11">
        <f t="shared" si="5"/>
        <v>1</v>
      </c>
      <c r="G50" s="12">
        <f t="shared" si="4"/>
        <v>900000000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300</v>
      </c>
      <c r="F51" s="11">
        <f t="shared" si="5"/>
        <v>1</v>
      </c>
      <c r="G51" s="11">
        <f t="shared" si="4"/>
        <v>228973303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300</v>
      </c>
      <c r="F52" s="11">
        <f t="shared" si="5"/>
        <v>0</v>
      </c>
      <c r="G52" s="11">
        <f t="shared" si="4"/>
        <v>-60000000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293</v>
      </c>
      <c r="F53" s="11">
        <f t="shared" si="5"/>
        <v>0</v>
      </c>
      <c r="G53" s="11">
        <f t="shared" si="4"/>
        <v>-117346500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284</v>
      </c>
      <c r="F54" s="11">
        <f t="shared" si="5"/>
        <v>0</v>
      </c>
      <c r="G54" s="11">
        <f t="shared" si="4"/>
        <v>-284112464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278</v>
      </c>
      <c r="F55" s="11">
        <f t="shared" si="5"/>
        <v>0</v>
      </c>
      <c r="G55" s="11">
        <f t="shared" si="4"/>
        <v>-11120000000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269</v>
      </c>
      <c r="F56" s="11">
        <f t="shared" si="5"/>
        <v>1</v>
      </c>
      <c r="G56" s="11">
        <f t="shared" si="4"/>
        <v>231994736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242</v>
      </c>
      <c r="F57" s="11">
        <f t="shared" si="5"/>
        <v>0</v>
      </c>
      <c r="G57" s="11">
        <f t="shared" si="4"/>
        <v>-12148400000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241</v>
      </c>
      <c r="F58" s="11">
        <f t="shared" si="5"/>
        <v>0</v>
      </c>
      <c r="G58" s="11">
        <f t="shared" si="4"/>
        <v>-2940320500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238</v>
      </c>
      <c r="F59" s="11">
        <f t="shared" si="5"/>
        <v>1</v>
      </c>
      <c r="G59" s="11">
        <f t="shared" si="4"/>
        <v>126772722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237</v>
      </c>
      <c r="F60" s="11">
        <f t="shared" si="5"/>
        <v>0</v>
      </c>
      <c r="G60" s="11">
        <f t="shared" si="4"/>
        <v>-80106000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235</v>
      </c>
      <c r="F61" s="11">
        <f t="shared" si="5"/>
        <v>0</v>
      </c>
      <c r="G61" s="11">
        <f t="shared" si="4"/>
        <v>-35250000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231</v>
      </c>
      <c r="F62" s="11">
        <f t="shared" si="5"/>
        <v>0</v>
      </c>
      <c r="G62" s="11">
        <f t="shared" si="4"/>
        <v>-23100000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227</v>
      </c>
      <c r="F63" s="11">
        <f t="shared" si="5"/>
        <v>0</v>
      </c>
      <c r="G63" s="11">
        <f t="shared" si="4"/>
        <v>-45400000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227</v>
      </c>
      <c r="F64" s="11">
        <f t="shared" si="5"/>
        <v>0</v>
      </c>
      <c r="G64" s="11">
        <f t="shared" si="4"/>
        <v>-19749000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223</v>
      </c>
      <c r="F65" s="11">
        <f t="shared" si="5"/>
        <v>0</v>
      </c>
      <c r="G65" s="11">
        <f t="shared" si="4"/>
        <v>-6125810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222</v>
      </c>
      <c r="F66" s="11">
        <f t="shared" si="5"/>
        <v>0</v>
      </c>
      <c r="G66" s="11">
        <f t="shared" si="4"/>
        <v>-74148000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5" si="6">D67+E68</f>
        <v>217</v>
      </c>
      <c r="F67" s="11">
        <f t="shared" si="5"/>
        <v>0</v>
      </c>
      <c r="G67" s="11">
        <f t="shared" si="4"/>
        <v>-4340000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216</v>
      </c>
      <c r="F68" s="11">
        <f t="shared" si="5"/>
        <v>0</v>
      </c>
      <c r="G68" s="11">
        <f t="shared" si="4"/>
        <v>-64908000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216</v>
      </c>
      <c r="F69" s="11">
        <f t="shared" si="5"/>
        <v>0</v>
      </c>
      <c r="G69" s="11">
        <f t="shared" si="4"/>
        <v>-21600000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211</v>
      </c>
      <c r="F70" s="11">
        <f t="shared" si="5"/>
        <v>0</v>
      </c>
      <c r="G70" s="11">
        <f t="shared" si="4"/>
        <v>-42200000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207</v>
      </c>
      <c r="F71" s="11">
        <f t="shared" si="5"/>
        <v>1</v>
      </c>
      <c r="G71" s="11">
        <f t="shared" si="4"/>
        <v>3170134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207</v>
      </c>
      <c r="F72" s="11">
        <f t="shared" si="5"/>
        <v>1</v>
      </c>
      <c r="G72" s="11">
        <f t="shared" si="4"/>
        <v>824000000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207</v>
      </c>
      <c r="F73" s="11">
        <f t="shared" si="5"/>
        <v>1</v>
      </c>
      <c r="G73" s="11">
        <f t="shared" si="4"/>
        <v>535600000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207</v>
      </c>
      <c r="F74" s="11">
        <f t="shared" si="5"/>
        <v>1</v>
      </c>
      <c r="G74" s="11">
        <f t="shared" si="4"/>
        <v>618000000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204</v>
      </c>
      <c r="F75" s="11">
        <f t="shared" si="5"/>
        <v>0</v>
      </c>
      <c r="G75" s="11">
        <f t="shared" si="4"/>
        <v>-40800000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201</v>
      </c>
      <c r="F76" s="11">
        <f t="shared" si="5"/>
        <v>0</v>
      </c>
      <c r="G76" s="11">
        <f t="shared" si="4"/>
        <v>-402140700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201</v>
      </c>
      <c r="F77" s="11">
        <f t="shared" si="5"/>
        <v>0</v>
      </c>
      <c r="G77" s="11">
        <f t="shared" si="4"/>
        <v>-40200000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197</v>
      </c>
      <c r="F78" s="11">
        <f t="shared" si="5"/>
        <v>1</v>
      </c>
      <c r="G78" s="11">
        <f t="shared" si="4"/>
        <v>392000000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189</v>
      </c>
      <c r="F79" s="11">
        <f t="shared" si="5"/>
        <v>0</v>
      </c>
      <c r="G79" s="11">
        <f t="shared" si="4"/>
        <v>-189094500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189</v>
      </c>
      <c r="F80" s="11">
        <f t="shared" si="5"/>
        <v>0</v>
      </c>
      <c r="G80" s="11">
        <f t="shared" si="4"/>
        <v>-26828550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186</v>
      </c>
      <c r="F81" s="11">
        <f t="shared" si="5"/>
        <v>0</v>
      </c>
      <c r="G81" s="11">
        <f t="shared" si="4"/>
        <v>-167493000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176</v>
      </c>
      <c r="F82" s="11">
        <f t="shared" si="5"/>
        <v>1</v>
      </c>
      <c r="G82" s="11">
        <f t="shared" si="4"/>
        <v>14218925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154</v>
      </c>
      <c r="F83" s="11">
        <f t="shared" si="5"/>
        <v>1</v>
      </c>
      <c r="G83" s="11">
        <f t="shared" si="4"/>
        <v>7650000000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153</v>
      </c>
      <c r="F84" s="11">
        <f t="shared" si="5"/>
        <v>1</v>
      </c>
      <c r="G84" s="11">
        <f t="shared" si="4"/>
        <v>4560000000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153</v>
      </c>
      <c r="F85" s="11">
        <f t="shared" si="5"/>
        <v>0</v>
      </c>
      <c r="G85" s="11">
        <f t="shared" si="4"/>
        <v>-11092500000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152</v>
      </c>
      <c r="F86" s="11">
        <f t="shared" si="5"/>
        <v>0</v>
      </c>
      <c r="G86" s="11">
        <f t="shared" si="4"/>
        <v>-42712000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147</v>
      </c>
      <c r="F87" s="11">
        <f t="shared" si="5"/>
        <v>1</v>
      </c>
      <c r="G87" s="11">
        <f t="shared" si="4"/>
        <v>365000000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146</v>
      </c>
      <c r="F88" s="11">
        <f t="shared" si="5"/>
        <v>1</v>
      </c>
      <c r="G88" s="11">
        <f t="shared" si="4"/>
        <v>11359300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141</v>
      </c>
      <c r="F89" s="11">
        <f t="shared" si="5"/>
        <v>1</v>
      </c>
      <c r="G89" s="11">
        <f t="shared" si="4"/>
        <v>2100000000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116</v>
      </c>
      <c r="F90" s="11">
        <f t="shared" si="5"/>
        <v>1</v>
      </c>
      <c r="G90" s="11">
        <f t="shared" si="4"/>
        <v>28157290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87</v>
      </c>
      <c r="F91" s="11">
        <f t="shared" si="5"/>
        <v>1</v>
      </c>
      <c r="G91" s="11">
        <f t="shared" si="4"/>
        <v>23405330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57</v>
      </c>
      <c r="F92" s="11">
        <f t="shared" si="5"/>
        <v>1</v>
      </c>
      <c r="G92" s="11">
        <f t="shared" si="4"/>
        <v>168000000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57</v>
      </c>
      <c r="F93" s="11">
        <f t="shared" si="5"/>
        <v>1</v>
      </c>
      <c r="G93" s="11">
        <f t="shared" si="4"/>
        <v>15365560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56</v>
      </c>
      <c r="F94" s="11">
        <f t="shared" si="5"/>
        <v>1</v>
      </c>
      <c r="G94" s="11">
        <f t="shared" si="4"/>
        <v>302500000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55</v>
      </c>
      <c r="F95" s="11">
        <f t="shared" si="5"/>
        <v>1</v>
      </c>
      <c r="G95" s="11">
        <f t="shared" si="4"/>
        <v>162000000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54</v>
      </c>
      <c r="F96" s="11">
        <f t="shared" si="5"/>
        <v>1</v>
      </c>
      <c r="G96" s="11">
        <f t="shared" si="4"/>
        <v>159000000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53</v>
      </c>
      <c r="F97" s="11">
        <f t="shared" si="5"/>
        <v>1</v>
      </c>
      <c r="G97" s="11">
        <f t="shared" si="4"/>
        <v>156000000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52</v>
      </c>
      <c r="F98" s="11">
        <f t="shared" si="5"/>
        <v>1</v>
      </c>
      <c r="G98" s="11">
        <f t="shared" si="4"/>
        <v>153000000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51</v>
      </c>
      <c r="F99" s="11">
        <f t="shared" si="5"/>
        <v>1</v>
      </c>
      <c r="G99" s="11">
        <f t="shared" si="4"/>
        <v>150000000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49</v>
      </c>
      <c r="F100" s="11">
        <f t="shared" si="5"/>
        <v>1</v>
      </c>
      <c r="G100" s="11">
        <f t="shared" si="4"/>
        <v>47976000</v>
      </c>
    </row>
    <row r="101" spans="1:7" ht="30" x14ac:dyDescent="0.25">
      <c r="A101" s="11" t="s">
        <v>904</v>
      </c>
      <c r="B101" s="38">
        <v>-1986700</v>
      </c>
      <c r="C101" s="74" t="s">
        <v>906</v>
      </c>
      <c r="D101" s="11">
        <v>21</v>
      </c>
      <c r="E101" s="11">
        <f t="shared" si="6"/>
        <v>48</v>
      </c>
      <c r="F101" s="11">
        <f t="shared" si="5"/>
        <v>0</v>
      </c>
      <c r="G101" s="11">
        <f t="shared" si="4"/>
        <v>-95361600</v>
      </c>
    </row>
    <row r="102" spans="1:7" ht="30" x14ac:dyDescent="0.25">
      <c r="A102" s="11" t="s">
        <v>908</v>
      </c>
      <c r="B102" s="38">
        <v>3000000</v>
      </c>
      <c r="C102" s="74" t="s">
        <v>909</v>
      </c>
      <c r="D102" s="11">
        <v>15</v>
      </c>
      <c r="E102" s="11">
        <f t="shared" si="6"/>
        <v>27</v>
      </c>
      <c r="F102" s="11">
        <f t="shared" si="5"/>
        <v>1</v>
      </c>
      <c r="G102" s="11">
        <f t="shared" si="4"/>
        <v>78000000</v>
      </c>
    </row>
    <row r="103" spans="1:7" x14ac:dyDescent="0.25">
      <c r="A103" s="11" t="s">
        <v>933</v>
      </c>
      <c r="B103" s="38">
        <v>-10000</v>
      </c>
      <c r="C103" s="74" t="s">
        <v>939</v>
      </c>
      <c r="D103" s="11">
        <v>6</v>
      </c>
      <c r="E103" s="11">
        <f t="shared" si="6"/>
        <v>12</v>
      </c>
      <c r="F103" s="11">
        <f t="shared" si="5"/>
        <v>0</v>
      </c>
      <c r="G103" s="11">
        <f t="shared" si="4"/>
        <v>-120000</v>
      </c>
    </row>
    <row r="104" spans="1:7" x14ac:dyDescent="0.25">
      <c r="A104" s="11" t="s">
        <v>941</v>
      </c>
      <c r="B104" s="38">
        <v>1999000</v>
      </c>
      <c r="C104" s="74" t="s">
        <v>942</v>
      </c>
      <c r="D104" s="11">
        <v>5</v>
      </c>
      <c r="E104" s="11">
        <f t="shared" si="6"/>
        <v>6</v>
      </c>
      <c r="F104" s="11">
        <f t="shared" si="5"/>
        <v>1</v>
      </c>
      <c r="G104" s="11">
        <f t="shared" si="4"/>
        <v>9995000</v>
      </c>
    </row>
    <row r="105" spans="1:7" x14ac:dyDescent="0.25">
      <c r="A105" s="11" t="s">
        <v>960</v>
      </c>
      <c r="B105" s="38">
        <v>-60000000</v>
      </c>
      <c r="C105" s="74" t="s">
        <v>1060</v>
      </c>
      <c r="D105" s="11">
        <v>1</v>
      </c>
      <c r="E105" s="11">
        <f t="shared" si="6"/>
        <v>1</v>
      </c>
      <c r="F105" s="11">
        <f t="shared" si="5"/>
        <v>0</v>
      </c>
      <c r="G105" s="11">
        <f t="shared" si="4"/>
        <v>-60000000</v>
      </c>
    </row>
    <row r="106" spans="1:7" x14ac:dyDescent="0.25">
      <c r="A106" s="11"/>
      <c r="B106" s="38"/>
      <c r="C106" s="74"/>
      <c r="D106" s="11">
        <v>0</v>
      </c>
      <c r="E106" s="11">
        <f t="shared" si="6"/>
        <v>0</v>
      </c>
      <c r="F106" s="11">
        <f t="shared" si="5"/>
        <v>0</v>
      </c>
      <c r="G106" s="11">
        <f t="shared" si="4"/>
        <v>0</v>
      </c>
    </row>
    <row r="107" spans="1:7" x14ac:dyDescent="0.25">
      <c r="A107" s="11"/>
      <c r="B107" s="38"/>
      <c r="C107" s="74"/>
      <c r="D107" s="11">
        <v>0</v>
      </c>
      <c r="E107" s="11">
        <f t="shared" si="6"/>
        <v>0</v>
      </c>
      <c r="F107" s="11">
        <f t="shared" si="5"/>
        <v>0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 t="s">
        <v>25</v>
      </c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/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 t="s">
        <v>25</v>
      </c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/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11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11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29">
        <f>SUM(B2:B125)</f>
        <v>1169293</v>
      </c>
      <c r="C126" s="11"/>
      <c r="D126" s="11"/>
      <c r="E126" s="11"/>
      <c r="F126" s="11"/>
      <c r="G126" s="29">
        <f>SUM(G2:G125)</f>
        <v>20985998180</v>
      </c>
    </row>
    <row r="127" spans="1:7" x14ac:dyDescent="0.25">
      <c r="A127" s="11"/>
      <c r="B127" s="11" t="s">
        <v>283</v>
      </c>
      <c r="C127" s="11"/>
      <c r="D127" s="11"/>
      <c r="E127" s="11"/>
      <c r="F127" s="11"/>
      <c r="G127" s="11" t="s">
        <v>284</v>
      </c>
    </row>
    <row r="128" spans="1:7" x14ac:dyDescent="0.25">
      <c r="A128" s="11"/>
      <c r="B128" s="11"/>
      <c r="C128" s="11"/>
      <c r="D128" s="11"/>
      <c r="E128" s="11"/>
      <c r="F128" s="11"/>
      <c r="G128" s="11"/>
    </row>
    <row r="129" spans="1:7" x14ac:dyDescent="0.25">
      <c r="A129" s="11"/>
      <c r="B129" s="11"/>
      <c r="C129" s="11"/>
      <c r="D129" s="11"/>
      <c r="E129" s="11"/>
      <c r="F129" s="11"/>
      <c r="G129" s="3">
        <f>G126/E2</f>
        <v>44367860.845665962</v>
      </c>
    </row>
    <row r="130" spans="1:7" x14ac:dyDescent="0.25">
      <c r="A130" s="11"/>
      <c r="B130" s="11"/>
      <c r="C130" s="11"/>
      <c r="D130" s="11"/>
      <c r="E130" s="11"/>
      <c r="F130" s="11"/>
      <c r="G130" s="11" t="s">
        <v>286</v>
      </c>
    </row>
    <row r="133" spans="1:7" ht="30" x14ac:dyDescent="0.25">
      <c r="B133" s="73" t="s">
        <v>874</v>
      </c>
    </row>
    <row r="134" spans="1:7" x14ac:dyDescent="0.25">
      <c r="B134" s="7"/>
    </row>
    <row r="136" spans="1:7" x14ac:dyDescent="0.25">
      <c r="B136" s="7"/>
    </row>
    <row r="137" spans="1:7" x14ac:dyDescent="0.25">
      <c r="G137" t="s">
        <v>575</v>
      </c>
    </row>
    <row r="138" spans="1:7" x14ac:dyDescent="0.25">
      <c r="G138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19" workbookViewId="0">
      <selection activeCell="N11" sqref="N11:N13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8.140625" customWidth="1"/>
    <col min="4" max="4" width="10.5703125" bestFit="1" customWidth="1"/>
    <col min="5" max="5" width="9.85546875" customWidth="1"/>
    <col min="6" max="6" width="18.7109375" customWidth="1"/>
    <col min="7" max="7" width="15.140625" bestFit="1" customWidth="1"/>
    <col min="8" max="8" width="16.140625" bestFit="1" customWidth="1"/>
    <col min="9" max="9" width="15.140625" customWidth="1"/>
    <col min="10" max="10" width="23.42578125" customWidth="1"/>
    <col min="11" max="11" width="18.140625" customWidth="1"/>
    <col min="12" max="12" width="14.140625" bestFit="1" customWidth="1"/>
    <col min="13" max="13" width="16.85546875" bestFit="1" customWidth="1"/>
    <col min="14" max="14" width="14.7109375" customWidth="1"/>
    <col min="15" max="16" width="37" bestFit="1" customWidth="1"/>
    <col min="17" max="17" width="11.42578125" bestFit="1" customWidth="1"/>
    <col min="21" max="21" width="11.42578125" bestFit="1" customWidth="1"/>
    <col min="23" max="23" width="35.140625" customWidth="1"/>
  </cols>
  <sheetData>
    <row r="1" spans="1:21" x14ac:dyDescent="0.25">
      <c r="A1" s="11" t="s">
        <v>961</v>
      </c>
      <c r="B1" s="11" t="s">
        <v>967</v>
      </c>
      <c r="C1" s="11" t="s">
        <v>964</v>
      </c>
      <c r="D1" s="11" t="s">
        <v>965</v>
      </c>
      <c r="E1" s="11" t="s">
        <v>978</v>
      </c>
      <c r="F1" s="11" t="s">
        <v>980</v>
      </c>
      <c r="G1" s="11" t="s">
        <v>968</v>
      </c>
      <c r="H1" s="11" t="s">
        <v>183</v>
      </c>
      <c r="I1" s="11" t="s">
        <v>985</v>
      </c>
      <c r="J1" s="11" t="s">
        <v>974</v>
      </c>
      <c r="K1" s="11" t="s">
        <v>981</v>
      </c>
      <c r="L1" s="11" t="s">
        <v>982</v>
      </c>
      <c r="M1" s="11" t="s">
        <v>975</v>
      </c>
      <c r="N1" s="11" t="s">
        <v>983</v>
      </c>
      <c r="O1" s="11" t="s">
        <v>8</v>
      </c>
      <c r="P1" s="11" t="s">
        <v>987</v>
      </c>
    </row>
    <row r="2" spans="1:21" x14ac:dyDescent="0.25">
      <c r="A2" s="11">
        <v>1</v>
      </c>
      <c r="B2" s="11" t="s">
        <v>952</v>
      </c>
      <c r="C2" s="11" t="s">
        <v>966</v>
      </c>
      <c r="D2" s="11">
        <v>500</v>
      </c>
      <c r="E2" s="11" t="s">
        <v>61</v>
      </c>
      <c r="F2" s="3">
        <v>80100</v>
      </c>
      <c r="G2" s="3">
        <v>40079086</v>
      </c>
      <c r="H2" s="11">
        <v>4</v>
      </c>
      <c r="I2" s="11">
        <v>0</v>
      </c>
      <c r="J2" s="3">
        <f t="shared" ref="J2:J7" si="0">G2*H2*($H$48-I2)/(36500)</f>
        <v>105413.48646575342</v>
      </c>
      <c r="K2" s="20">
        <v>7.2499999999999995E-2</v>
      </c>
      <c r="L2" s="3">
        <f>D2*F2*K2/100</f>
        <v>29036.25</v>
      </c>
      <c r="M2" s="11">
        <f>(F2*(1+K2/100)+J2/D2)/(1-K2/100)</f>
        <v>80427.209199601231</v>
      </c>
      <c r="N2" s="11"/>
      <c r="O2" s="11"/>
      <c r="P2" s="3">
        <v>80200</v>
      </c>
    </row>
    <row r="3" spans="1:21" x14ac:dyDescent="0.25">
      <c r="A3" s="11">
        <v>2</v>
      </c>
      <c r="B3" s="11"/>
      <c r="C3" s="11"/>
      <c r="D3" s="11"/>
      <c r="E3" s="11"/>
      <c r="F3" s="3"/>
      <c r="G3" s="3"/>
      <c r="H3" s="11"/>
      <c r="I3" s="11"/>
      <c r="J3" s="3">
        <f t="shared" si="0"/>
        <v>0</v>
      </c>
      <c r="K3" s="20">
        <v>7.2499999999999995E-2</v>
      </c>
      <c r="L3" s="3"/>
      <c r="M3" s="11"/>
      <c r="N3" s="11"/>
      <c r="O3" s="11"/>
      <c r="P3" s="11"/>
      <c r="U3" s="26"/>
    </row>
    <row r="4" spans="1:21" x14ac:dyDescent="0.25">
      <c r="A4" s="77">
        <v>3</v>
      </c>
      <c r="B4" s="77" t="s">
        <v>952</v>
      </c>
      <c r="C4" s="77" t="s">
        <v>976</v>
      </c>
      <c r="D4" s="77">
        <v>400</v>
      </c>
      <c r="E4" s="77" t="s">
        <v>61</v>
      </c>
      <c r="F4" s="78">
        <v>96959</v>
      </c>
      <c r="G4" s="78">
        <v>39275391</v>
      </c>
      <c r="H4" s="77">
        <v>0</v>
      </c>
      <c r="I4" s="77">
        <v>21</v>
      </c>
      <c r="J4" s="77">
        <f t="shared" si="0"/>
        <v>0</v>
      </c>
      <c r="K4" s="77">
        <v>7.2499999999999995E-2</v>
      </c>
      <c r="L4" s="78">
        <f t="shared" ref="L4:L18" si="1">D4*F4*K4/100</f>
        <v>28118.11</v>
      </c>
      <c r="M4" s="77">
        <f>(F4*(1+K4/100)+J4/D4)/(1-K4/100)</f>
        <v>97099.692552100285</v>
      </c>
      <c r="N4" s="77"/>
      <c r="O4" s="77" t="s">
        <v>977</v>
      </c>
      <c r="P4" s="77"/>
    </row>
    <row r="5" spans="1:21" x14ac:dyDescent="0.25">
      <c r="A5" s="77">
        <v>4</v>
      </c>
      <c r="B5" s="77" t="s">
        <v>952</v>
      </c>
      <c r="C5" s="77" t="s">
        <v>976</v>
      </c>
      <c r="D5" s="77">
        <v>400</v>
      </c>
      <c r="E5" s="77" t="s">
        <v>979</v>
      </c>
      <c r="F5" s="78">
        <v>99999</v>
      </c>
      <c r="G5" s="78">
        <v>40434473</v>
      </c>
      <c r="H5" s="77"/>
      <c r="I5" s="77">
        <v>21</v>
      </c>
      <c r="J5" s="77">
        <f t="shared" si="0"/>
        <v>0</v>
      </c>
      <c r="K5" s="77">
        <v>7.2499999999999995E-2</v>
      </c>
      <c r="L5" s="78">
        <f t="shared" si="1"/>
        <v>28999.71</v>
      </c>
      <c r="M5" s="77"/>
      <c r="N5" s="79">
        <f>G5-G4-J4</f>
        <v>1159082</v>
      </c>
      <c r="O5" s="77" t="s">
        <v>986</v>
      </c>
      <c r="P5" s="77"/>
    </row>
    <row r="6" spans="1:21" x14ac:dyDescent="0.25">
      <c r="A6" s="83">
        <v>5</v>
      </c>
      <c r="B6" s="83" t="s">
        <v>962</v>
      </c>
      <c r="C6" s="83" t="s">
        <v>984</v>
      </c>
      <c r="D6" s="83">
        <v>300</v>
      </c>
      <c r="E6" s="83" t="s">
        <v>61</v>
      </c>
      <c r="F6" s="84">
        <v>97219</v>
      </c>
      <c r="G6" s="84">
        <v>29203853</v>
      </c>
      <c r="H6" s="83">
        <v>3</v>
      </c>
      <c r="I6" s="83">
        <v>21</v>
      </c>
      <c r="J6" s="84">
        <f t="shared" si="0"/>
        <v>7200.9500547945208</v>
      </c>
      <c r="K6" s="83">
        <v>7.2499999999999995E-2</v>
      </c>
      <c r="L6" s="84">
        <f t="shared" si="1"/>
        <v>21145.1325</v>
      </c>
      <c r="M6" s="83">
        <f>(F6*(1+K6/100)+J6/D6)/(1-K6/100)</f>
        <v>97384.090407394688</v>
      </c>
      <c r="N6" s="83"/>
      <c r="O6" s="83"/>
      <c r="P6" s="84">
        <v>98000</v>
      </c>
    </row>
    <row r="7" spans="1:21" x14ac:dyDescent="0.25">
      <c r="A7" s="83">
        <v>6</v>
      </c>
      <c r="B7" s="83" t="s">
        <v>960</v>
      </c>
      <c r="C7" s="83" t="s">
        <v>984</v>
      </c>
      <c r="D7" s="83">
        <v>300</v>
      </c>
      <c r="E7" s="83" t="s">
        <v>979</v>
      </c>
      <c r="F7" s="84">
        <v>98000</v>
      </c>
      <c r="G7" s="84">
        <v>29446055</v>
      </c>
      <c r="H7" s="83">
        <v>0</v>
      </c>
      <c r="I7" s="83">
        <v>0</v>
      </c>
      <c r="J7" s="84">
        <f t="shared" si="0"/>
        <v>0</v>
      </c>
      <c r="K7" s="83"/>
      <c r="L7" s="84"/>
      <c r="M7" s="83"/>
      <c r="N7" s="85">
        <f>G7-G6-J6</f>
        <v>235001.04994520548</v>
      </c>
      <c r="O7" s="83"/>
      <c r="P7" s="84"/>
    </row>
    <row r="8" spans="1:21" x14ac:dyDescent="0.25">
      <c r="A8" s="11">
        <v>7</v>
      </c>
      <c r="B8" s="11" t="s">
        <v>962</v>
      </c>
      <c r="C8" s="11" t="s">
        <v>984</v>
      </c>
      <c r="D8" s="11">
        <v>100</v>
      </c>
      <c r="E8" s="11" t="s">
        <v>61</v>
      </c>
      <c r="F8" s="3">
        <v>97219</v>
      </c>
      <c r="G8" s="3">
        <v>9734617</v>
      </c>
      <c r="H8" s="11"/>
      <c r="I8" s="11"/>
      <c r="J8" s="3"/>
      <c r="K8" s="20"/>
      <c r="L8" s="3"/>
      <c r="M8" s="11"/>
      <c r="N8" s="11"/>
      <c r="O8" s="11"/>
      <c r="P8" s="3"/>
    </row>
    <row r="9" spans="1:21" x14ac:dyDescent="0.25">
      <c r="A9" s="11">
        <v>8</v>
      </c>
      <c r="B9" s="11"/>
      <c r="C9" s="11"/>
      <c r="D9" s="11"/>
      <c r="E9" s="11"/>
      <c r="F9" s="3"/>
      <c r="G9" s="3"/>
      <c r="H9" s="11"/>
      <c r="I9" s="11"/>
      <c r="J9" s="3">
        <f t="shared" ref="J9:J20" si="2">G9*H9*$H$48/(36500)</f>
        <v>0</v>
      </c>
      <c r="K9" s="11"/>
      <c r="L9" s="3">
        <f t="shared" si="1"/>
        <v>0</v>
      </c>
      <c r="M9" s="11"/>
      <c r="N9" s="11"/>
      <c r="O9" s="11"/>
      <c r="P9" s="11"/>
    </row>
    <row r="10" spans="1:21" x14ac:dyDescent="0.25">
      <c r="A10" s="80">
        <v>9</v>
      </c>
      <c r="B10" s="80" t="s">
        <v>960</v>
      </c>
      <c r="C10" s="80" t="s">
        <v>1055</v>
      </c>
      <c r="D10" s="80">
        <v>200</v>
      </c>
      <c r="E10" s="80" t="s">
        <v>61</v>
      </c>
      <c r="F10" s="81">
        <v>70000</v>
      </c>
      <c r="G10" s="81">
        <v>14010149</v>
      </c>
      <c r="H10" s="80">
        <v>0</v>
      </c>
      <c r="I10" s="80">
        <v>0</v>
      </c>
      <c r="J10" s="81">
        <f t="shared" si="2"/>
        <v>0</v>
      </c>
      <c r="K10" s="80">
        <v>7.2499999999999995E-2</v>
      </c>
      <c r="L10" s="81">
        <f t="shared" si="1"/>
        <v>10149.999999999998</v>
      </c>
      <c r="M10" s="80">
        <f>(F10*(1+K10/100)+J10/D10)/(1-K10/100)</f>
        <v>70101.573640889648</v>
      </c>
      <c r="N10" s="80"/>
      <c r="O10" s="80"/>
      <c r="P10" s="80"/>
    </row>
    <row r="11" spans="1:21" x14ac:dyDescent="0.25">
      <c r="A11" s="80">
        <v>10</v>
      </c>
      <c r="B11" s="80" t="s">
        <v>960</v>
      </c>
      <c r="C11" s="80" t="s">
        <v>1055</v>
      </c>
      <c r="D11" s="80">
        <v>200</v>
      </c>
      <c r="E11" s="80" t="s">
        <v>979</v>
      </c>
      <c r="F11" s="81">
        <v>704889</v>
      </c>
      <c r="G11" s="81">
        <v>14087559</v>
      </c>
      <c r="H11" s="80">
        <v>0</v>
      </c>
      <c r="I11" s="80">
        <v>0</v>
      </c>
      <c r="J11" s="81">
        <f t="shared" si="2"/>
        <v>0</v>
      </c>
      <c r="K11" s="80">
        <v>7.2499999999999995E-2</v>
      </c>
      <c r="L11" s="81">
        <f t="shared" si="1"/>
        <v>102208.905</v>
      </c>
      <c r="M11" s="80"/>
      <c r="N11" s="82">
        <f>G11-G10-J10</f>
        <v>77410</v>
      </c>
      <c r="O11" s="80"/>
      <c r="P11" s="80"/>
    </row>
    <row r="12" spans="1:21" x14ac:dyDescent="0.25">
      <c r="A12" s="77">
        <v>11</v>
      </c>
      <c r="B12" s="77" t="s">
        <v>960</v>
      </c>
      <c r="C12" s="77" t="s">
        <v>996</v>
      </c>
      <c r="D12" s="77">
        <v>200</v>
      </c>
      <c r="E12" s="77" t="s">
        <v>61</v>
      </c>
      <c r="F12" s="78">
        <v>83000</v>
      </c>
      <c r="G12" s="78">
        <v>17464390</v>
      </c>
      <c r="H12" s="77">
        <v>0</v>
      </c>
      <c r="I12" s="77">
        <v>15</v>
      </c>
      <c r="J12" s="78">
        <f t="shared" si="2"/>
        <v>0</v>
      </c>
      <c r="K12" s="77">
        <v>7.2499999999999995E-2</v>
      </c>
      <c r="L12" s="78">
        <f t="shared" si="1"/>
        <v>12035</v>
      </c>
      <c r="M12" s="77">
        <f>(F12*(1+K12/100)+J12/D12)/(1-K12/100)</f>
        <v>83120.437317054864</v>
      </c>
      <c r="N12" s="77"/>
      <c r="O12" s="77"/>
      <c r="P12" s="77"/>
    </row>
    <row r="13" spans="1:21" x14ac:dyDescent="0.25">
      <c r="A13" s="77">
        <v>12</v>
      </c>
      <c r="B13" s="77" t="s">
        <v>960</v>
      </c>
      <c r="C13" s="77" t="s">
        <v>996</v>
      </c>
      <c r="D13" s="77">
        <v>200</v>
      </c>
      <c r="E13" s="77" t="s">
        <v>979</v>
      </c>
      <c r="F13" s="78">
        <v>83399</v>
      </c>
      <c r="G13" s="78">
        <v>17520183</v>
      </c>
      <c r="H13" s="77">
        <v>0</v>
      </c>
      <c r="I13" s="77">
        <v>15</v>
      </c>
      <c r="J13" s="78">
        <f t="shared" si="2"/>
        <v>0</v>
      </c>
      <c r="K13" s="77">
        <v>7.2499999999999995E-2</v>
      </c>
      <c r="L13" s="78">
        <f t="shared" si="1"/>
        <v>12092.855</v>
      </c>
      <c r="M13" s="77"/>
      <c r="N13" s="79">
        <f>G13-G12-J12</f>
        <v>55793</v>
      </c>
      <c r="O13" s="77"/>
      <c r="P13" s="77"/>
    </row>
    <row r="14" spans="1:21" x14ac:dyDescent="0.25">
      <c r="A14" s="11">
        <v>13</v>
      </c>
      <c r="B14" s="11" t="s">
        <v>960</v>
      </c>
      <c r="C14" s="11" t="s">
        <v>992</v>
      </c>
      <c r="D14" s="11">
        <v>100</v>
      </c>
      <c r="E14" s="11" t="s">
        <v>61</v>
      </c>
      <c r="F14" s="3">
        <v>97501</v>
      </c>
      <c r="G14" s="3">
        <v>10173179</v>
      </c>
      <c r="H14" s="11">
        <v>0</v>
      </c>
      <c r="I14" s="11">
        <v>21</v>
      </c>
      <c r="J14" s="3">
        <f t="shared" si="2"/>
        <v>0</v>
      </c>
      <c r="K14" s="11">
        <v>7.2499999999999995E-2</v>
      </c>
      <c r="L14" s="3">
        <f t="shared" si="1"/>
        <v>7068.8225000000002</v>
      </c>
      <c r="M14" s="3">
        <f>(F14*(1+K14/100)+J14/D14)/(1-K14/100)</f>
        <v>97642.479022291169</v>
      </c>
      <c r="N14" s="11"/>
      <c r="O14" s="11"/>
      <c r="P14" s="84">
        <v>98000</v>
      </c>
    </row>
    <row r="15" spans="1:21" x14ac:dyDescent="0.25">
      <c r="A15" s="11">
        <v>14</v>
      </c>
      <c r="B15" s="11"/>
      <c r="C15" s="11"/>
      <c r="D15" s="11"/>
      <c r="E15" s="11"/>
      <c r="F15" s="3"/>
      <c r="G15" s="3"/>
      <c r="H15" s="11"/>
      <c r="I15" s="11"/>
      <c r="J15" s="3">
        <f t="shared" si="2"/>
        <v>0</v>
      </c>
      <c r="K15" s="11"/>
      <c r="L15" s="11"/>
      <c r="M15" s="11"/>
      <c r="N15" s="11"/>
      <c r="O15" s="11"/>
      <c r="P15" s="11"/>
    </row>
    <row r="16" spans="1:21" x14ac:dyDescent="0.25">
      <c r="A16" s="11">
        <v>15</v>
      </c>
      <c r="B16" s="11" t="s">
        <v>960</v>
      </c>
      <c r="C16" s="11" t="s">
        <v>992</v>
      </c>
      <c r="D16" s="11">
        <v>300</v>
      </c>
      <c r="E16" s="11" t="s">
        <v>61</v>
      </c>
      <c r="F16" s="3">
        <v>98000</v>
      </c>
      <c r="G16" s="3">
        <v>30669287</v>
      </c>
      <c r="H16" s="11">
        <v>0</v>
      </c>
      <c r="I16" s="11">
        <v>21</v>
      </c>
      <c r="J16" s="3">
        <f t="shared" si="2"/>
        <v>0</v>
      </c>
      <c r="K16" s="11">
        <v>7.2499999999999995E-2</v>
      </c>
      <c r="L16" s="3">
        <f t="shared" si="1"/>
        <v>21315</v>
      </c>
      <c r="M16" s="3">
        <f>(F16*(1+K16/100)+J16/D16)/(1-K16/100)</f>
        <v>98142.20309724551</v>
      </c>
      <c r="N16" s="11"/>
      <c r="O16" s="11"/>
      <c r="P16" s="84">
        <v>98000</v>
      </c>
    </row>
    <row r="17" spans="1:16" x14ac:dyDescent="0.25">
      <c r="A17" s="11">
        <v>16</v>
      </c>
      <c r="B17" s="11"/>
      <c r="C17" s="11"/>
      <c r="D17" s="11"/>
      <c r="E17" s="11"/>
      <c r="F17" s="3"/>
      <c r="G17" s="3"/>
      <c r="H17" s="11"/>
      <c r="I17" s="11"/>
      <c r="J17" s="3">
        <f t="shared" si="2"/>
        <v>0</v>
      </c>
      <c r="K17" s="11"/>
      <c r="L17" s="11"/>
      <c r="M17" s="11"/>
      <c r="N17" s="11"/>
      <c r="O17" s="11"/>
      <c r="P17" s="11"/>
    </row>
    <row r="18" spans="1:16" x14ac:dyDescent="0.25">
      <c r="A18" s="11">
        <v>17</v>
      </c>
      <c r="B18" s="11" t="s">
        <v>960</v>
      </c>
      <c r="C18" s="11" t="s">
        <v>976</v>
      </c>
      <c r="D18" s="11">
        <v>300</v>
      </c>
      <c r="E18" s="11" t="s">
        <v>61</v>
      </c>
      <c r="F18" s="3">
        <v>97100</v>
      </c>
      <c r="G18" s="3">
        <v>29566012</v>
      </c>
      <c r="H18" s="11">
        <v>0</v>
      </c>
      <c r="I18" s="11">
        <v>21</v>
      </c>
      <c r="J18" s="3">
        <f t="shared" si="2"/>
        <v>0</v>
      </c>
      <c r="K18" s="11">
        <v>7.2499999999999995E-2</v>
      </c>
      <c r="L18" s="11">
        <f t="shared" si="1"/>
        <v>21119.25</v>
      </c>
      <c r="M18" s="11">
        <f>(F18*(1+K18/100)+J18/D18)/(1-K18/100)</f>
        <v>97240.897150434073</v>
      </c>
      <c r="N18" s="11"/>
      <c r="O18" s="11"/>
      <c r="P18" s="84">
        <v>98000</v>
      </c>
    </row>
    <row r="19" spans="1:16" x14ac:dyDescent="0.25">
      <c r="A19" s="11">
        <v>18</v>
      </c>
      <c r="B19" s="11"/>
      <c r="C19" s="11"/>
      <c r="D19" s="11"/>
      <c r="E19" s="11"/>
      <c r="F19" s="3"/>
      <c r="G19" s="3"/>
      <c r="H19" s="11"/>
      <c r="I19" s="11"/>
      <c r="J19" s="3">
        <f t="shared" si="2"/>
        <v>0</v>
      </c>
      <c r="K19" s="11"/>
      <c r="L19" s="11"/>
      <c r="M19" s="11"/>
      <c r="N19" s="11"/>
      <c r="O19" s="11"/>
      <c r="P19" s="11"/>
    </row>
    <row r="20" spans="1:16" x14ac:dyDescent="0.25">
      <c r="A20" s="11">
        <v>19</v>
      </c>
      <c r="B20" s="11" t="s">
        <v>960</v>
      </c>
      <c r="C20" s="11" t="s">
        <v>976</v>
      </c>
      <c r="D20" s="11">
        <v>400</v>
      </c>
      <c r="E20" s="11" t="s">
        <v>61</v>
      </c>
      <c r="F20" s="3">
        <v>97500</v>
      </c>
      <c r="G20" s="3">
        <v>39581466</v>
      </c>
      <c r="H20" s="11">
        <v>0</v>
      </c>
      <c r="I20" s="11">
        <v>21</v>
      </c>
      <c r="J20" s="3">
        <f t="shared" si="2"/>
        <v>0</v>
      </c>
      <c r="K20" s="11">
        <v>7.2499999999999995E-2</v>
      </c>
      <c r="L20" s="11">
        <f t="shared" ref="L20" si="3">D20*F20*K20/100</f>
        <v>28275</v>
      </c>
      <c r="M20" s="11">
        <f>(F20*(1+K20/100)+J20/D20)/(1-K20/100)</f>
        <v>97641.477571239157</v>
      </c>
      <c r="N20" s="11"/>
      <c r="O20" s="11"/>
      <c r="P20" s="84">
        <v>98000</v>
      </c>
    </row>
    <row r="21" spans="1:16" x14ac:dyDescent="0.25">
      <c r="A21" s="11">
        <v>20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25">
      <c r="A22" s="11">
        <v>21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6" spans="1:16" x14ac:dyDescent="0.25">
      <c r="B26" s="11" t="s">
        <v>988</v>
      </c>
      <c r="C26" s="11"/>
      <c r="F26">
        <f>(D8*F8+D14*F14+D16*F16+D18*F18+D20*F20)/(D8+D14+D16+D18+D20)</f>
        <v>97501.666666666672</v>
      </c>
    </row>
    <row r="27" spans="1:16" x14ac:dyDescent="0.25">
      <c r="B27" s="11" t="s">
        <v>989</v>
      </c>
      <c r="C27" s="3">
        <v>9230835</v>
      </c>
    </row>
    <row r="28" spans="1:16" x14ac:dyDescent="0.25">
      <c r="B28" s="11" t="s">
        <v>966</v>
      </c>
      <c r="C28" s="3">
        <f>D2*P2*(1-K2/100)</f>
        <v>40070927.5</v>
      </c>
    </row>
    <row r="29" spans="1:16" x14ac:dyDescent="0.25">
      <c r="B29" s="11" t="s">
        <v>990</v>
      </c>
      <c r="C29" s="3">
        <f>D8*P6*(1-K6/100)</f>
        <v>9792895</v>
      </c>
    </row>
    <row r="30" spans="1:16" x14ac:dyDescent="0.25">
      <c r="B30" s="11" t="s">
        <v>992</v>
      </c>
      <c r="C30" s="3">
        <f>D14*P14*(1-K14/100)</f>
        <v>9792895</v>
      </c>
      <c r="G30" t="s">
        <v>25</v>
      </c>
    </row>
    <row r="31" spans="1:16" x14ac:dyDescent="0.25">
      <c r="B31" s="11" t="s">
        <v>992</v>
      </c>
      <c r="C31" s="3">
        <f>D16*P16*(1-K16/100)</f>
        <v>29378685</v>
      </c>
    </row>
    <row r="32" spans="1:16" x14ac:dyDescent="0.25">
      <c r="B32" s="11" t="s">
        <v>976</v>
      </c>
      <c r="C32" s="3">
        <f>D18*P18*(1-K18/100)</f>
        <v>29378685</v>
      </c>
    </row>
    <row r="33" spans="2:9" x14ac:dyDescent="0.25">
      <c r="B33" s="11" t="s">
        <v>976</v>
      </c>
      <c r="C33" s="3">
        <f>D20*P20*(1-K20/100)</f>
        <v>39171580</v>
      </c>
    </row>
    <row r="34" spans="2:9" x14ac:dyDescent="0.25">
      <c r="B34" s="11" t="s">
        <v>1056</v>
      </c>
      <c r="C34" s="3">
        <v>1247972</v>
      </c>
    </row>
    <row r="35" spans="2:9" x14ac:dyDescent="0.25">
      <c r="B35" s="11" t="s">
        <v>1056</v>
      </c>
      <c r="C35" s="3">
        <v>416110</v>
      </c>
    </row>
    <row r="36" spans="2:9" x14ac:dyDescent="0.25">
      <c r="B36" s="11" t="s">
        <v>1057</v>
      </c>
      <c r="C36" s="3">
        <v>414893</v>
      </c>
    </row>
    <row r="37" spans="2:9" x14ac:dyDescent="0.25">
      <c r="B37" s="11" t="s">
        <v>1058</v>
      </c>
      <c r="C37" s="38">
        <v>553191</v>
      </c>
    </row>
    <row r="38" spans="2:9" x14ac:dyDescent="0.25">
      <c r="B38" s="11"/>
      <c r="C38" s="11"/>
    </row>
    <row r="39" spans="2:9" x14ac:dyDescent="0.25">
      <c r="B39" s="11"/>
      <c r="C39" s="11"/>
    </row>
    <row r="40" spans="2:9" x14ac:dyDescent="0.25">
      <c r="B40" s="11"/>
      <c r="C40" s="11"/>
    </row>
    <row r="41" spans="2:9" x14ac:dyDescent="0.25">
      <c r="B41" s="11" t="s">
        <v>6</v>
      </c>
      <c r="C41" s="29">
        <f>SUM(C27:C40)</f>
        <v>169448668.5</v>
      </c>
    </row>
    <row r="42" spans="2:9" x14ac:dyDescent="0.25">
      <c r="B42" s="11"/>
      <c r="C42" s="11"/>
      <c r="F42" t="s">
        <v>25</v>
      </c>
    </row>
    <row r="43" spans="2:9" x14ac:dyDescent="0.25">
      <c r="B43" s="11" t="s">
        <v>983</v>
      </c>
      <c r="C43" s="29">
        <f>C41-H58</f>
        <v>1736942.472602725</v>
      </c>
      <c r="I43" s="25"/>
    </row>
    <row r="44" spans="2:9" x14ac:dyDescent="0.25">
      <c r="I44" s="25"/>
    </row>
    <row r="45" spans="2:9" x14ac:dyDescent="0.25">
      <c r="I45" s="25"/>
    </row>
    <row r="46" spans="2:9" x14ac:dyDescent="0.25">
      <c r="I46" s="28"/>
    </row>
    <row r="47" spans="2:9" x14ac:dyDescent="0.25">
      <c r="H47" s="11" t="s">
        <v>969</v>
      </c>
      <c r="I47" s="25"/>
    </row>
    <row r="48" spans="2:9" x14ac:dyDescent="0.25">
      <c r="H48" s="11">
        <v>24</v>
      </c>
      <c r="I48" s="25"/>
    </row>
    <row r="49" spans="1:9" x14ac:dyDescent="0.25">
      <c r="A49" s="11" t="s">
        <v>180</v>
      </c>
      <c r="B49" s="11" t="s">
        <v>971</v>
      </c>
      <c r="C49" s="11" t="s">
        <v>267</v>
      </c>
      <c r="D49" s="11" t="s">
        <v>8</v>
      </c>
      <c r="E49" s="11"/>
      <c r="F49" s="11" t="s">
        <v>183</v>
      </c>
      <c r="G49" s="11" t="s">
        <v>972</v>
      </c>
      <c r="H49" s="11" t="s">
        <v>973</v>
      </c>
      <c r="I49" s="25"/>
    </row>
    <row r="50" spans="1:9" x14ac:dyDescent="0.25">
      <c r="A50" s="11" t="s">
        <v>952</v>
      </c>
      <c r="B50" s="11" t="s">
        <v>963</v>
      </c>
      <c r="C50" s="3">
        <v>80500000</v>
      </c>
      <c r="D50" s="11" t="s">
        <v>676</v>
      </c>
      <c r="E50" s="11"/>
      <c r="F50" s="11">
        <v>4</v>
      </c>
      <c r="G50" s="3">
        <f t="shared" ref="G50:G56" si="4">C50*F50*$H$48/(365*100)</f>
        <v>211726.02739726027</v>
      </c>
      <c r="H50" s="29">
        <f t="shared" ref="H50:H55" si="5">C50+G50</f>
        <v>80711726.02739726</v>
      </c>
      <c r="I50" s="25"/>
    </row>
    <row r="51" spans="1:9" x14ac:dyDescent="0.25">
      <c r="A51" s="11" t="s">
        <v>960</v>
      </c>
      <c r="B51" s="11" t="s">
        <v>963</v>
      </c>
      <c r="C51" s="11">
        <v>87000000</v>
      </c>
      <c r="D51" s="11" t="s">
        <v>1054</v>
      </c>
      <c r="E51" s="11"/>
      <c r="F51" s="11">
        <f>F50-4</f>
        <v>0</v>
      </c>
      <c r="G51" s="3">
        <f t="shared" si="4"/>
        <v>0</v>
      </c>
      <c r="H51" s="29">
        <f t="shared" si="5"/>
        <v>87000000</v>
      </c>
      <c r="I51" s="25"/>
    </row>
    <row r="52" spans="1:9" x14ac:dyDescent="0.25">
      <c r="A52" s="11"/>
      <c r="B52" s="11"/>
      <c r="C52" s="11"/>
      <c r="D52" s="11"/>
      <c r="E52" s="11"/>
      <c r="F52" s="11"/>
      <c r="G52" s="3">
        <f t="shared" si="4"/>
        <v>0</v>
      </c>
      <c r="H52" s="29">
        <f t="shared" si="5"/>
        <v>0</v>
      </c>
      <c r="I52" s="25"/>
    </row>
    <row r="53" spans="1:9" x14ac:dyDescent="0.25">
      <c r="A53" s="11"/>
      <c r="B53" s="11"/>
      <c r="C53" s="11"/>
      <c r="D53" s="11"/>
      <c r="E53" s="11"/>
      <c r="F53" s="11"/>
      <c r="G53" s="3">
        <f t="shared" si="4"/>
        <v>0</v>
      </c>
      <c r="H53" s="29">
        <f t="shared" si="5"/>
        <v>0</v>
      </c>
      <c r="I53" s="25"/>
    </row>
    <row r="54" spans="1:9" x14ac:dyDescent="0.25">
      <c r="A54" s="11"/>
      <c r="B54" s="11"/>
      <c r="C54" s="11"/>
      <c r="D54" s="11"/>
      <c r="E54" s="11"/>
      <c r="F54" s="11"/>
      <c r="G54" s="3">
        <f t="shared" si="4"/>
        <v>0</v>
      </c>
      <c r="H54" s="29">
        <f t="shared" si="5"/>
        <v>0</v>
      </c>
      <c r="I54" s="25"/>
    </row>
    <row r="55" spans="1:9" x14ac:dyDescent="0.25">
      <c r="A55" s="11"/>
      <c r="B55" s="11"/>
      <c r="C55" s="11"/>
      <c r="D55" s="11"/>
      <c r="E55" s="11"/>
      <c r="F55" s="11"/>
      <c r="G55" s="3">
        <f t="shared" si="4"/>
        <v>0</v>
      </c>
      <c r="H55" s="29">
        <f t="shared" si="5"/>
        <v>0</v>
      </c>
    </row>
    <row r="56" spans="1:9" x14ac:dyDescent="0.25">
      <c r="A56" s="11"/>
      <c r="B56" s="11"/>
      <c r="C56" s="11"/>
      <c r="D56" s="11"/>
      <c r="E56" s="11"/>
      <c r="F56" s="11"/>
      <c r="G56" s="3">
        <f t="shared" si="4"/>
        <v>0</v>
      </c>
      <c r="H56" s="11"/>
    </row>
    <row r="57" spans="1:9" x14ac:dyDescent="0.25">
      <c r="A57" s="11"/>
      <c r="B57" s="11"/>
      <c r="C57" s="11"/>
      <c r="D57" s="11"/>
      <c r="E57" s="11"/>
      <c r="F57" s="11"/>
      <c r="G57" s="11"/>
      <c r="H57" s="11"/>
    </row>
    <row r="58" spans="1:9" x14ac:dyDescent="0.25">
      <c r="A58" s="11"/>
      <c r="B58" s="11"/>
      <c r="C58" s="11"/>
      <c r="D58" s="11"/>
      <c r="E58" s="11"/>
      <c r="F58" s="11"/>
      <c r="G58" s="11"/>
      <c r="H58" s="29">
        <f>SUM(H50:H56)</f>
        <v>167711726.02739727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selection activeCell="O2" sqref="O2"/>
    </sheetView>
  </sheetViews>
  <sheetFormatPr defaultRowHeight="15" x14ac:dyDescent="0.25"/>
  <cols>
    <col min="5" max="5" width="10.85546875" bestFit="1" customWidth="1"/>
    <col min="6" max="6" width="10.85546875" customWidth="1"/>
    <col min="7" max="7" width="17.5703125" bestFit="1" customWidth="1"/>
    <col min="8" max="9" width="12.42578125" bestFit="1" customWidth="1"/>
    <col min="10" max="10" width="11" bestFit="1" customWidth="1"/>
    <col min="15" max="17" width="12.42578125" bestFit="1" customWidth="1"/>
    <col min="19" max="19" width="14.5703125" bestFit="1" customWidth="1"/>
    <col min="21" max="21" width="12.42578125" bestFit="1" customWidth="1"/>
  </cols>
  <sheetData>
    <row r="1" spans="1:22" x14ac:dyDescent="0.25">
      <c r="A1" s="11" t="s">
        <v>961</v>
      </c>
      <c r="B1" s="11" t="s">
        <v>991</v>
      </c>
      <c r="C1" s="11" t="s">
        <v>1007</v>
      </c>
      <c r="D1" s="11" t="s">
        <v>1008</v>
      </c>
      <c r="E1" s="11" t="s">
        <v>1004</v>
      </c>
      <c r="F1" s="11" t="s">
        <v>1046</v>
      </c>
      <c r="G1" s="11" t="s">
        <v>1021</v>
      </c>
      <c r="H1" s="11" t="s">
        <v>970</v>
      </c>
      <c r="I1" s="11" t="s">
        <v>1009</v>
      </c>
      <c r="J1" s="70" t="s">
        <v>1040</v>
      </c>
      <c r="M1">
        <v>96</v>
      </c>
      <c r="N1">
        <v>12</v>
      </c>
      <c r="O1" s="3">
        <v>90000</v>
      </c>
      <c r="P1" s="3">
        <f>O1</f>
        <v>90000</v>
      </c>
      <c r="Q1" s="3">
        <v>0</v>
      </c>
      <c r="S1" t="s">
        <v>985</v>
      </c>
      <c r="T1" t="s">
        <v>1052</v>
      </c>
      <c r="U1" t="s">
        <v>1053</v>
      </c>
    </row>
    <row r="2" spans="1:22" x14ac:dyDescent="0.25">
      <c r="A2" s="11">
        <v>1</v>
      </c>
      <c r="B2" s="11" t="s">
        <v>1050</v>
      </c>
      <c r="C2" s="11">
        <v>17</v>
      </c>
      <c r="D2" s="11">
        <v>6</v>
      </c>
      <c r="E2" s="11" t="s">
        <v>1051</v>
      </c>
      <c r="F2" s="11">
        <f>46-$E$32</f>
        <v>46</v>
      </c>
      <c r="G2" s="3">
        <v>100000</v>
      </c>
      <c r="H2" s="3">
        <v>96000</v>
      </c>
      <c r="I2" s="11"/>
      <c r="J2" s="70"/>
      <c r="M2">
        <v>97</v>
      </c>
      <c r="N2">
        <v>1</v>
      </c>
      <c r="O2">
        <f t="shared" ref="O2:O3" si="0">$V$2</f>
        <v>1466.666666666667</v>
      </c>
      <c r="P2" s="3">
        <f>P1*(1+$S$2/1200)</f>
        <v>91650</v>
      </c>
      <c r="Q2" s="3">
        <f>O2+Q1*(1+$S$2/1200)</f>
        <v>1466.666666666667</v>
      </c>
      <c r="S2">
        <v>22</v>
      </c>
      <c r="T2">
        <v>17.600000000000001</v>
      </c>
      <c r="U2" s="3">
        <v>100000</v>
      </c>
      <c r="V2">
        <f>U2*T2/(100*12)</f>
        <v>1466.666666666667</v>
      </c>
    </row>
    <row r="3" spans="1:22" x14ac:dyDescent="0.25">
      <c r="A3" s="11">
        <v>2</v>
      </c>
      <c r="B3" s="11" t="s">
        <v>992</v>
      </c>
      <c r="C3" s="11">
        <v>21</v>
      </c>
      <c r="D3" s="11">
        <v>3</v>
      </c>
      <c r="E3" s="11" t="s">
        <v>1014</v>
      </c>
      <c r="F3" s="11">
        <f>19-$E$32</f>
        <v>19</v>
      </c>
      <c r="G3" s="3">
        <v>100000</v>
      </c>
      <c r="H3" s="3">
        <v>98000</v>
      </c>
      <c r="I3" s="3">
        <v>98100</v>
      </c>
      <c r="J3" s="11"/>
      <c r="M3">
        <v>97</v>
      </c>
      <c r="N3">
        <v>2</v>
      </c>
      <c r="O3">
        <f t="shared" si="0"/>
        <v>1466.666666666667</v>
      </c>
      <c r="P3" s="3">
        <f t="shared" ref="P3:P20" si="1">P2*(1+$S$2/1200)</f>
        <v>93330.25</v>
      </c>
      <c r="Q3" s="3">
        <f t="shared" ref="Q3:Q49" si="2">O3+Q2*(1+$S$2/1200)</f>
        <v>2960.2222222222226</v>
      </c>
    </row>
    <row r="4" spans="1:22" x14ac:dyDescent="0.25">
      <c r="A4" s="11">
        <v>3</v>
      </c>
      <c r="B4" s="11" t="s">
        <v>993</v>
      </c>
      <c r="C4" s="11">
        <v>16</v>
      </c>
      <c r="D4" s="11">
        <v>3</v>
      </c>
      <c r="E4" s="11" t="s">
        <v>1015</v>
      </c>
      <c r="F4" s="11">
        <f>19-$E$32</f>
        <v>19</v>
      </c>
      <c r="G4" s="3">
        <v>100000</v>
      </c>
      <c r="H4" s="3">
        <v>91000</v>
      </c>
      <c r="I4" s="3">
        <v>91500</v>
      </c>
      <c r="J4" s="11"/>
      <c r="M4">
        <v>97</v>
      </c>
      <c r="N4">
        <v>3</v>
      </c>
      <c r="O4">
        <f>$V$2</f>
        <v>1466.666666666667</v>
      </c>
      <c r="P4" s="3">
        <f t="shared" si="1"/>
        <v>95041.304583333331</v>
      </c>
      <c r="Q4" s="3">
        <f t="shared" si="2"/>
        <v>4481.1596296296302</v>
      </c>
    </row>
    <row r="5" spans="1:22" x14ac:dyDescent="0.25">
      <c r="A5" s="11">
        <v>4</v>
      </c>
      <c r="B5" s="23" t="s">
        <v>984</v>
      </c>
      <c r="C5" s="11">
        <v>21</v>
      </c>
      <c r="D5" s="11">
        <v>3</v>
      </c>
      <c r="E5" s="11" t="s">
        <v>1016</v>
      </c>
      <c r="F5" s="11">
        <f>21-$E$32</f>
        <v>21</v>
      </c>
      <c r="G5" s="3">
        <v>100000</v>
      </c>
      <c r="H5" s="3">
        <v>97200</v>
      </c>
      <c r="I5" s="3">
        <v>98100</v>
      </c>
      <c r="J5" s="11"/>
      <c r="M5">
        <v>97</v>
      </c>
      <c r="N5">
        <v>4</v>
      </c>
      <c r="O5">
        <f t="shared" ref="O5:O49" si="3">$V$2</f>
        <v>1466.666666666667</v>
      </c>
      <c r="P5" s="3">
        <f t="shared" si="1"/>
        <v>96783.728500694444</v>
      </c>
      <c r="Q5" s="3">
        <f t="shared" si="2"/>
        <v>6029.9808895061733</v>
      </c>
    </row>
    <row r="6" spans="1:22" x14ac:dyDescent="0.25">
      <c r="A6" s="11">
        <v>5</v>
      </c>
      <c r="B6" s="11" t="s">
        <v>976</v>
      </c>
      <c r="C6" s="11">
        <v>21</v>
      </c>
      <c r="D6" s="11">
        <v>3</v>
      </c>
      <c r="E6" s="11" t="s">
        <v>1017</v>
      </c>
      <c r="F6" s="11">
        <f>24-$E$32</f>
        <v>24</v>
      </c>
      <c r="G6" s="3">
        <v>100000</v>
      </c>
      <c r="H6" s="3">
        <v>99500</v>
      </c>
      <c r="I6" s="3"/>
      <c r="J6" s="11"/>
      <c r="M6">
        <v>97</v>
      </c>
      <c r="N6">
        <v>5</v>
      </c>
      <c r="O6">
        <f t="shared" si="3"/>
        <v>1466.666666666667</v>
      </c>
      <c r="P6" s="3">
        <f t="shared" si="1"/>
        <v>98558.096856540506</v>
      </c>
      <c r="Q6" s="3">
        <f t="shared" si="2"/>
        <v>7607.1972058137862</v>
      </c>
    </row>
    <row r="7" spans="1:22" x14ac:dyDescent="0.25">
      <c r="A7" s="11">
        <v>6</v>
      </c>
      <c r="B7" s="11" t="s">
        <v>994</v>
      </c>
      <c r="C7" s="11">
        <v>18</v>
      </c>
      <c r="D7" s="11">
        <v>3</v>
      </c>
      <c r="E7" s="11" t="s">
        <v>1049</v>
      </c>
      <c r="F7" s="11">
        <f>24-$E$32</f>
        <v>24</v>
      </c>
      <c r="G7" s="3">
        <v>100000</v>
      </c>
      <c r="H7" s="3">
        <v>93000</v>
      </c>
      <c r="I7" s="3"/>
      <c r="J7" s="11"/>
      <c r="M7">
        <v>97</v>
      </c>
      <c r="N7">
        <v>6</v>
      </c>
      <c r="O7">
        <f t="shared" si="3"/>
        <v>1466.666666666667</v>
      </c>
      <c r="P7" s="3">
        <f t="shared" si="1"/>
        <v>100364.99529891041</v>
      </c>
      <c r="Q7" s="3">
        <f t="shared" si="2"/>
        <v>9213.3291545870379</v>
      </c>
    </row>
    <row r="8" spans="1:22" x14ac:dyDescent="0.25">
      <c r="A8" s="11">
        <v>7</v>
      </c>
      <c r="B8" s="11" t="s">
        <v>995</v>
      </c>
      <c r="C8" s="11">
        <v>16</v>
      </c>
      <c r="D8" s="11">
        <v>3</v>
      </c>
      <c r="E8" s="11" t="s">
        <v>1018</v>
      </c>
      <c r="F8" s="11">
        <f>22-$E$32</f>
        <v>22</v>
      </c>
      <c r="G8" s="3">
        <v>100000</v>
      </c>
      <c r="H8" s="3">
        <v>90000</v>
      </c>
      <c r="I8" s="3"/>
      <c r="J8" s="11"/>
      <c r="M8">
        <v>97</v>
      </c>
      <c r="N8">
        <v>7</v>
      </c>
      <c r="O8">
        <f t="shared" si="3"/>
        <v>1466.666666666667</v>
      </c>
      <c r="P8" s="3">
        <f t="shared" si="1"/>
        <v>102205.02021272376</v>
      </c>
      <c r="Q8" s="3">
        <f t="shared" si="2"/>
        <v>10848.906855754467</v>
      </c>
    </row>
    <row r="9" spans="1:22" x14ac:dyDescent="0.25">
      <c r="A9" s="11">
        <v>8</v>
      </c>
      <c r="B9" s="11" t="s">
        <v>996</v>
      </c>
      <c r="C9" s="11">
        <v>15</v>
      </c>
      <c r="D9" s="11">
        <v>6</v>
      </c>
      <c r="E9" s="11" t="s">
        <v>1019</v>
      </c>
      <c r="F9" s="11">
        <f>33-$E$32</f>
        <v>33</v>
      </c>
      <c r="G9" s="3">
        <v>100000</v>
      </c>
      <c r="H9" s="3">
        <v>82000</v>
      </c>
      <c r="I9" s="3">
        <v>85000</v>
      </c>
      <c r="J9" s="11"/>
      <c r="M9">
        <v>97</v>
      </c>
      <c r="N9">
        <v>8</v>
      </c>
      <c r="O9">
        <f t="shared" si="3"/>
        <v>1466.666666666667</v>
      </c>
      <c r="P9" s="3">
        <f t="shared" si="1"/>
        <v>104078.77891662369</v>
      </c>
      <c r="Q9" s="3">
        <f t="shared" si="2"/>
        <v>12514.470148109966</v>
      </c>
    </row>
    <row r="10" spans="1:22" x14ac:dyDescent="0.25">
      <c r="A10" s="11">
        <v>9</v>
      </c>
      <c r="B10" s="11" t="s">
        <v>966</v>
      </c>
      <c r="C10" s="11">
        <v>0</v>
      </c>
      <c r="D10" s="11">
        <v>0</v>
      </c>
      <c r="E10" s="11" t="s">
        <v>1020</v>
      </c>
      <c r="F10" s="11">
        <f>12-$E$32</f>
        <v>12</v>
      </c>
      <c r="G10" s="3">
        <v>100000</v>
      </c>
      <c r="H10" s="3">
        <v>80200</v>
      </c>
      <c r="I10" s="3"/>
      <c r="J10" s="11"/>
      <c r="M10">
        <v>97</v>
      </c>
      <c r="N10">
        <v>9</v>
      </c>
      <c r="O10">
        <f t="shared" si="3"/>
        <v>1466.666666666667</v>
      </c>
      <c r="P10" s="3">
        <f t="shared" si="1"/>
        <v>105986.88986342846</v>
      </c>
      <c r="Q10" s="3">
        <f t="shared" si="2"/>
        <v>14210.568767491983</v>
      </c>
    </row>
    <row r="11" spans="1:22" x14ac:dyDescent="0.25">
      <c r="A11" s="11">
        <v>10</v>
      </c>
      <c r="B11" s="11" t="s">
        <v>997</v>
      </c>
      <c r="C11" s="11">
        <v>0</v>
      </c>
      <c r="D11" s="11">
        <v>0</v>
      </c>
      <c r="E11" s="11" t="s">
        <v>1030</v>
      </c>
      <c r="F11" s="11">
        <f>5-$E$32</f>
        <v>5</v>
      </c>
      <c r="G11" s="3">
        <v>100000</v>
      </c>
      <c r="H11" s="3">
        <v>92020</v>
      </c>
      <c r="I11" s="3"/>
      <c r="J11" s="11"/>
      <c r="M11">
        <v>97</v>
      </c>
      <c r="N11">
        <v>10</v>
      </c>
      <c r="O11">
        <f t="shared" si="3"/>
        <v>1466.666666666667</v>
      </c>
      <c r="P11" s="3">
        <f t="shared" si="1"/>
        <v>107929.98284425797</v>
      </c>
      <c r="Q11" s="3">
        <f t="shared" si="2"/>
        <v>15937.762528229337</v>
      </c>
    </row>
    <row r="12" spans="1:22" x14ac:dyDescent="0.25">
      <c r="A12" s="11">
        <v>11</v>
      </c>
      <c r="B12" s="11" t="s">
        <v>998</v>
      </c>
      <c r="C12" s="11">
        <v>0</v>
      </c>
      <c r="D12" s="11">
        <v>0</v>
      </c>
      <c r="E12" s="11" t="s">
        <v>1031</v>
      </c>
      <c r="F12" s="11">
        <f>6-$E$32</f>
        <v>6</v>
      </c>
      <c r="G12" s="3">
        <v>100000</v>
      </c>
      <c r="H12" s="3">
        <v>90100</v>
      </c>
      <c r="I12" s="3"/>
      <c r="J12" s="11"/>
      <c r="M12">
        <v>97</v>
      </c>
      <c r="N12">
        <v>11</v>
      </c>
      <c r="O12">
        <f t="shared" si="3"/>
        <v>1466.666666666667</v>
      </c>
      <c r="P12" s="3">
        <f t="shared" si="1"/>
        <v>109908.6991964027</v>
      </c>
      <c r="Q12" s="3">
        <f t="shared" si="2"/>
        <v>17696.621507913544</v>
      </c>
    </row>
    <row r="13" spans="1:22" x14ac:dyDescent="0.25">
      <c r="A13" s="11">
        <v>12</v>
      </c>
      <c r="B13" s="11" t="s">
        <v>999</v>
      </c>
      <c r="C13" s="11">
        <v>0</v>
      </c>
      <c r="D13" s="11">
        <v>0</v>
      </c>
      <c r="E13" s="11" t="s">
        <v>1032</v>
      </c>
      <c r="F13" s="11">
        <f>7-$E$32</f>
        <v>7</v>
      </c>
      <c r="G13" s="3">
        <v>100000</v>
      </c>
      <c r="H13" s="3">
        <v>88600</v>
      </c>
      <c r="I13" s="3"/>
      <c r="J13" s="11"/>
      <c r="M13">
        <v>97</v>
      </c>
      <c r="N13">
        <v>12</v>
      </c>
      <c r="O13">
        <f t="shared" si="3"/>
        <v>1466.666666666667</v>
      </c>
      <c r="P13" s="3">
        <f t="shared" si="1"/>
        <v>111923.69201500341</v>
      </c>
      <c r="Q13" s="3">
        <f t="shared" si="2"/>
        <v>19487.726235558624</v>
      </c>
    </row>
    <row r="14" spans="1:22" x14ac:dyDescent="0.25">
      <c r="A14" s="11">
        <v>13</v>
      </c>
      <c r="B14" s="11" t="s">
        <v>1000</v>
      </c>
      <c r="C14" s="11">
        <v>0</v>
      </c>
      <c r="D14" s="11">
        <v>0</v>
      </c>
      <c r="E14" s="11" t="s">
        <v>1033</v>
      </c>
      <c r="F14" s="11">
        <f>20-$E$32</f>
        <v>20</v>
      </c>
      <c r="G14" s="3">
        <v>100000</v>
      </c>
      <c r="H14" s="3">
        <v>71000</v>
      </c>
      <c r="I14" s="3">
        <v>70000</v>
      </c>
      <c r="J14" s="11"/>
      <c r="M14">
        <v>98</v>
      </c>
      <c r="N14">
        <v>1</v>
      </c>
      <c r="O14">
        <f t="shared" si="3"/>
        <v>1466.666666666667</v>
      </c>
      <c r="P14" s="3">
        <f t="shared" si="1"/>
        <v>113975.6263686118</v>
      </c>
      <c r="Q14" s="3">
        <f t="shared" si="2"/>
        <v>21311.667883210532</v>
      </c>
    </row>
    <row r="15" spans="1:22" x14ac:dyDescent="0.25">
      <c r="A15" s="11">
        <v>14</v>
      </c>
      <c r="B15" s="11" t="s">
        <v>1001</v>
      </c>
      <c r="C15" s="11">
        <v>0</v>
      </c>
      <c r="D15" s="11">
        <v>0</v>
      </c>
      <c r="E15" s="11" t="s">
        <v>1034</v>
      </c>
      <c r="F15" s="11">
        <f>9-$E$32</f>
        <v>9</v>
      </c>
      <c r="G15" s="3">
        <v>100000</v>
      </c>
      <c r="H15" s="3">
        <v>84500</v>
      </c>
      <c r="I15" s="3"/>
      <c r="J15" s="11"/>
      <c r="M15">
        <v>98</v>
      </c>
      <c r="N15">
        <v>2</v>
      </c>
      <c r="O15">
        <f t="shared" si="3"/>
        <v>1466.666666666667</v>
      </c>
      <c r="P15" s="3">
        <f t="shared" si="1"/>
        <v>116065.17951870302</v>
      </c>
      <c r="Q15" s="3">
        <f t="shared" si="2"/>
        <v>23169.048461069393</v>
      </c>
    </row>
    <row r="16" spans="1:22" x14ac:dyDescent="0.25">
      <c r="A16" s="11">
        <v>15</v>
      </c>
      <c r="B16" s="11" t="s">
        <v>1002</v>
      </c>
      <c r="C16" s="11">
        <v>0</v>
      </c>
      <c r="D16" s="11">
        <v>0</v>
      </c>
      <c r="E16" s="11" t="s">
        <v>1035</v>
      </c>
      <c r="F16" s="11">
        <f>19-$E$32</f>
        <v>19</v>
      </c>
      <c r="G16" s="3">
        <v>100000</v>
      </c>
      <c r="H16" s="3">
        <v>71000</v>
      </c>
      <c r="I16" s="3"/>
      <c r="J16" s="11"/>
      <c r="M16">
        <v>98</v>
      </c>
      <c r="N16">
        <v>3</v>
      </c>
      <c r="O16">
        <f t="shared" si="3"/>
        <v>1466.666666666667</v>
      </c>
      <c r="P16" s="3">
        <f t="shared" si="1"/>
        <v>118193.04114321257</v>
      </c>
      <c r="Q16" s="3">
        <f t="shared" si="2"/>
        <v>25060.481016188998</v>
      </c>
    </row>
    <row r="17" spans="1:17" x14ac:dyDescent="0.25">
      <c r="A17" s="11">
        <v>16</v>
      </c>
      <c r="B17" s="11" t="s">
        <v>1003</v>
      </c>
      <c r="C17" s="11">
        <v>0</v>
      </c>
      <c r="D17" s="11">
        <v>0</v>
      </c>
      <c r="E17" s="11" t="s">
        <v>1037</v>
      </c>
      <c r="F17" s="11">
        <f>10-$E$32</f>
        <v>10</v>
      </c>
      <c r="G17" s="3">
        <v>100000</v>
      </c>
      <c r="H17" s="3">
        <v>84000</v>
      </c>
      <c r="I17" s="3"/>
      <c r="J17" s="11"/>
      <c r="M17">
        <v>98</v>
      </c>
      <c r="N17">
        <v>4</v>
      </c>
      <c r="O17">
        <f t="shared" si="3"/>
        <v>1466.666666666667</v>
      </c>
      <c r="P17" s="3">
        <f t="shared" si="1"/>
        <v>120359.91356417147</v>
      </c>
      <c r="Q17" s="3">
        <f t="shared" si="2"/>
        <v>26986.589834819129</v>
      </c>
    </row>
    <row r="18" spans="1:17" x14ac:dyDescent="0.25">
      <c r="A18" s="11">
        <v>17</v>
      </c>
      <c r="B18" s="11" t="s">
        <v>1022</v>
      </c>
      <c r="C18" s="11">
        <v>0</v>
      </c>
      <c r="D18" s="11">
        <v>0</v>
      </c>
      <c r="E18" s="11" t="s">
        <v>1036</v>
      </c>
      <c r="F18" s="11">
        <f>16-$E$32</f>
        <v>16</v>
      </c>
      <c r="G18" s="3">
        <v>100000</v>
      </c>
      <c r="H18" s="3">
        <v>75500</v>
      </c>
      <c r="I18" s="3"/>
      <c r="J18" s="11"/>
      <c r="M18">
        <v>98</v>
      </c>
      <c r="N18">
        <v>5</v>
      </c>
      <c r="O18">
        <f t="shared" si="3"/>
        <v>1466.666666666667</v>
      </c>
      <c r="P18" s="3">
        <f t="shared" si="1"/>
        <v>122566.5119795146</v>
      </c>
      <c r="Q18" s="3">
        <f t="shared" si="2"/>
        <v>28948.010648457483</v>
      </c>
    </row>
    <row r="19" spans="1:17" x14ac:dyDescent="0.25">
      <c r="A19" s="11">
        <v>18</v>
      </c>
      <c r="B19" s="11" t="s">
        <v>1023</v>
      </c>
      <c r="C19" s="11">
        <v>0</v>
      </c>
      <c r="D19" s="11">
        <v>0</v>
      </c>
      <c r="E19" s="11" t="s">
        <v>1036</v>
      </c>
      <c r="F19" s="11">
        <f>16-$E$32</f>
        <v>16</v>
      </c>
      <c r="G19" s="3">
        <v>100000</v>
      </c>
      <c r="H19" s="3">
        <v>75500</v>
      </c>
      <c r="I19" s="3"/>
      <c r="J19" s="11"/>
      <c r="M19">
        <v>98</v>
      </c>
      <c r="N19">
        <v>6</v>
      </c>
      <c r="O19">
        <f t="shared" si="3"/>
        <v>1466.666666666667</v>
      </c>
      <c r="P19" s="3">
        <f t="shared" si="1"/>
        <v>124813.56469913904</v>
      </c>
      <c r="Q19" s="3">
        <f t="shared" si="2"/>
        <v>30945.390843679204</v>
      </c>
    </row>
    <row r="20" spans="1:17" x14ac:dyDescent="0.25">
      <c r="A20" s="11">
        <v>19</v>
      </c>
      <c r="B20" s="11" t="s">
        <v>1024</v>
      </c>
      <c r="C20" s="11">
        <v>0</v>
      </c>
      <c r="D20" s="11">
        <v>0</v>
      </c>
      <c r="E20" s="11" t="s">
        <v>1042</v>
      </c>
      <c r="F20" s="11">
        <f>21-$E$32</f>
        <v>21</v>
      </c>
      <c r="G20" s="3">
        <v>100000</v>
      </c>
      <c r="H20" s="3">
        <v>70000</v>
      </c>
      <c r="I20" s="3">
        <v>68000</v>
      </c>
      <c r="J20" s="11"/>
      <c r="M20">
        <v>98</v>
      </c>
      <c r="N20" s="9">
        <v>7</v>
      </c>
      <c r="O20">
        <f t="shared" si="3"/>
        <v>1466.666666666667</v>
      </c>
      <c r="P20" s="3">
        <f t="shared" si="1"/>
        <v>127101.81338528992</v>
      </c>
      <c r="Q20" s="3">
        <f t="shared" si="2"/>
        <v>32979.38967581332</v>
      </c>
    </row>
    <row r="21" spans="1:17" x14ac:dyDescent="0.25">
      <c r="A21" s="11">
        <v>20</v>
      </c>
      <c r="B21" s="11" t="s">
        <v>1025</v>
      </c>
      <c r="C21" s="11">
        <v>0</v>
      </c>
      <c r="D21" s="11">
        <v>0</v>
      </c>
      <c r="E21" s="11" t="s">
        <v>1043</v>
      </c>
      <c r="F21" s="11">
        <f>9-$E$32</f>
        <v>9</v>
      </c>
      <c r="G21" s="3">
        <v>100000</v>
      </c>
      <c r="H21" s="3">
        <v>86600</v>
      </c>
      <c r="I21" s="3">
        <v>85000</v>
      </c>
      <c r="J21" s="11"/>
      <c r="K21" t="s">
        <v>25</v>
      </c>
      <c r="M21">
        <v>98</v>
      </c>
      <c r="N21">
        <v>8</v>
      </c>
      <c r="O21">
        <f t="shared" si="3"/>
        <v>1466.666666666667</v>
      </c>
      <c r="P21" s="3">
        <f>P20*(1+$S$2/1200)</f>
        <v>129432.01329735357</v>
      </c>
      <c r="Q21" s="3">
        <f t="shared" si="2"/>
        <v>35050.678486536563</v>
      </c>
    </row>
    <row r="22" spans="1:17" x14ac:dyDescent="0.25">
      <c r="A22" s="11">
        <v>21</v>
      </c>
      <c r="B22" s="11" t="s">
        <v>1026</v>
      </c>
      <c r="C22" s="11">
        <v>0</v>
      </c>
      <c r="D22" s="11">
        <v>0</v>
      </c>
      <c r="E22" s="11" t="s">
        <v>1044</v>
      </c>
      <c r="F22" s="11">
        <f>23-$E$32</f>
        <v>23</v>
      </c>
      <c r="G22" s="3">
        <v>100000</v>
      </c>
      <c r="H22" s="3">
        <v>68000</v>
      </c>
      <c r="I22" s="3">
        <v>66000</v>
      </c>
      <c r="J22" s="11"/>
      <c r="M22">
        <v>98</v>
      </c>
      <c r="N22" s="9">
        <v>9</v>
      </c>
      <c r="O22">
        <f t="shared" si="3"/>
        <v>1466.666666666667</v>
      </c>
      <c r="P22" s="3">
        <f t="shared" ref="P22:P49" si="4">P21*(1+$S$2/1200)</f>
        <v>131804.93354113837</v>
      </c>
      <c r="Q22" s="3">
        <f t="shared" si="2"/>
        <v>37159.940925456394</v>
      </c>
    </row>
    <row r="23" spans="1:17" x14ac:dyDescent="0.25">
      <c r="A23" s="11">
        <v>22</v>
      </c>
      <c r="B23" s="11" t="s">
        <v>1027</v>
      </c>
      <c r="C23" s="11">
        <v>0</v>
      </c>
      <c r="D23" s="11">
        <v>0</v>
      </c>
      <c r="E23" s="11" t="s">
        <v>1045</v>
      </c>
      <c r="F23" s="11">
        <f>22-$E$32</f>
        <v>22</v>
      </c>
      <c r="G23" s="3">
        <v>100000</v>
      </c>
      <c r="H23" s="3">
        <v>69000</v>
      </c>
      <c r="I23" s="3"/>
      <c r="J23" s="11"/>
      <c r="M23">
        <v>98</v>
      </c>
      <c r="N23">
        <v>10</v>
      </c>
      <c r="O23">
        <f t="shared" si="3"/>
        <v>1466.666666666667</v>
      </c>
      <c r="P23" s="3">
        <f t="shared" si="4"/>
        <v>134221.3573227259</v>
      </c>
      <c r="Q23" s="3">
        <f t="shared" si="2"/>
        <v>39307.873175756424</v>
      </c>
    </row>
    <row r="24" spans="1:17" x14ac:dyDescent="0.25">
      <c r="A24" s="11">
        <v>23</v>
      </c>
      <c r="B24" s="11" t="s">
        <v>1028</v>
      </c>
      <c r="C24" s="11">
        <v>0</v>
      </c>
      <c r="D24" s="11">
        <v>0</v>
      </c>
      <c r="E24" s="11" t="s">
        <v>1045</v>
      </c>
      <c r="F24" s="11">
        <f>22-$E$32</f>
        <v>22</v>
      </c>
      <c r="G24" s="3">
        <v>100000</v>
      </c>
      <c r="H24" s="3">
        <v>69000</v>
      </c>
      <c r="I24" s="3"/>
      <c r="J24" s="11"/>
      <c r="M24">
        <v>98</v>
      </c>
      <c r="N24">
        <v>11</v>
      </c>
      <c r="O24">
        <f t="shared" si="3"/>
        <v>1466.666666666667</v>
      </c>
      <c r="P24" s="3">
        <f t="shared" si="4"/>
        <v>136682.08220697587</v>
      </c>
      <c r="Q24" s="3">
        <f t="shared" si="2"/>
        <v>41495.184183978621</v>
      </c>
    </row>
    <row r="25" spans="1:17" x14ac:dyDescent="0.25">
      <c r="A25" s="11">
        <v>24</v>
      </c>
      <c r="B25" s="11" t="s">
        <v>1029</v>
      </c>
      <c r="C25" s="11">
        <v>0</v>
      </c>
      <c r="D25" s="11">
        <v>0</v>
      </c>
      <c r="E25" s="11" t="s">
        <v>1033</v>
      </c>
      <c r="F25" s="11">
        <f>20-$E$32</f>
        <v>20</v>
      </c>
      <c r="G25" s="3">
        <v>100000</v>
      </c>
      <c r="H25" s="3">
        <v>70500</v>
      </c>
      <c r="I25" s="3"/>
      <c r="J25" s="11"/>
      <c r="M25">
        <v>98</v>
      </c>
      <c r="N25">
        <v>12</v>
      </c>
      <c r="O25">
        <f t="shared" si="3"/>
        <v>1466.666666666667</v>
      </c>
      <c r="P25" s="3">
        <f t="shared" si="4"/>
        <v>139187.92038077043</v>
      </c>
      <c r="Q25" s="3">
        <f t="shared" si="2"/>
        <v>43722.595894018224</v>
      </c>
    </row>
    <row r="26" spans="1:17" x14ac:dyDescent="0.25">
      <c r="A26" s="11">
        <v>25</v>
      </c>
      <c r="B26" s="11" t="s">
        <v>1005</v>
      </c>
      <c r="C26" s="11">
        <v>20</v>
      </c>
      <c r="D26" s="11">
        <v>6</v>
      </c>
      <c r="E26" s="11" t="s">
        <v>1011</v>
      </c>
      <c r="F26" s="11">
        <f>42-$E$32</f>
        <v>42</v>
      </c>
      <c r="G26" s="3">
        <v>100000</v>
      </c>
      <c r="H26" s="3">
        <v>100000</v>
      </c>
      <c r="I26" s="3"/>
      <c r="J26" s="11"/>
      <c r="M26">
        <v>99</v>
      </c>
      <c r="N26">
        <v>1</v>
      </c>
      <c r="O26">
        <f t="shared" si="3"/>
        <v>1466.666666666667</v>
      </c>
      <c r="P26" s="3">
        <f t="shared" si="4"/>
        <v>141739.69892108455</v>
      </c>
      <c r="Q26" s="3">
        <f t="shared" si="2"/>
        <v>45990.843485408557</v>
      </c>
    </row>
    <row r="27" spans="1:17" x14ac:dyDescent="0.25">
      <c r="A27" s="11">
        <v>26</v>
      </c>
      <c r="B27" s="11" t="s">
        <v>1006</v>
      </c>
      <c r="C27" s="11">
        <v>18</v>
      </c>
      <c r="D27" s="11">
        <v>6</v>
      </c>
      <c r="E27" s="11" t="s">
        <v>1010</v>
      </c>
      <c r="F27" s="11">
        <f>42-$E$32</f>
        <v>42</v>
      </c>
      <c r="G27" s="3">
        <v>100000</v>
      </c>
      <c r="H27" s="3"/>
      <c r="I27" s="3"/>
      <c r="J27" s="11"/>
      <c r="M27">
        <v>99</v>
      </c>
      <c r="N27">
        <v>2</v>
      </c>
      <c r="O27">
        <f t="shared" si="3"/>
        <v>1466.666666666667</v>
      </c>
      <c r="P27" s="3">
        <f t="shared" si="4"/>
        <v>144338.2600679711</v>
      </c>
      <c r="Q27" s="3">
        <f t="shared" si="2"/>
        <v>48300.675615974375</v>
      </c>
    </row>
    <row r="28" spans="1:17" x14ac:dyDescent="0.25">
      <c r="A28" s="11">
        <v>27</v>
      </c>
      <c r="B28" s="11" t="s">
        <v>1012</v>
      </c>
      <c r="C28" s="11">
        <v>22</v>
      </c>
      <c r="D28" s="11">
        <v>3</v>
      </c>
      <c r="E28" s="11" t="s">
        <v>1013</v>
      </c>
      <c r="F28" s="11">
        <f>12-$E$32</f>
        <v>12</v>
      </c>
      <c r="G28" s="3">
        <v>100000</v>
      </c>
      <c r="H28" s="3">
        <v>103000</v>
      </c>
      <c r="I28" s="3"/>
      <c r="J28" s="11"/>
      <c r="M28">
        <v>99</v>
      </c>
      <c r="N28">
        <v>3</v>
      </c>
      <c r="O28">
        <f t="shared" si="3"/>
        <v>1466.666666666667</v>
      </c>
      <c r="P28" s="3">
        <f t="shared" si="4"/>
        <v>146984.46150255058</v>
      </c>
      <c r="Q28" s="3">
        <f t="shared" si="2"/>
        <v>50652.854668933898</v>
      </c>
    </row>
    <row r="29" spans="1:17" x14ac:dyDescent="0.25">
      <c r="A29" s="11">
        <v>28</v>
      </c>
      <c r="B29" s="11" t="s">
        <v>1038</v>
      </c>
      <c r="C29" s="11">
        <v>21</v>
      </c>
      <c r="D29" s="11">
        <v>1</v>
      </c>
      <c r="E29" s="11" t="s">
        <v>1039</v>
      </c>
      <c r="F29" s="11">
        <f>26-$E$32</f>
        <v>26</v>
      </c>
      <c r="G29" s="3">
        <v>100000</v>
      </c>
      <c r="H29" s="3">
        <v>104000</v>
      </c>
      <c r="I29" s="3">
        <v>100000</v>
      </c>
      <c r="J29" s="11" t="s">
        <v>1041</v>
      </c>
      <c r="M29">
        <v>99</v>
      </c>
      <c r="N29">
        <v>4</v>
      </c>
      <c r="O29">
        <f t="shared" si="3"/>
        <v>1466.666666666667</v>
      </c>
      <c r="P29" s="3">
        <f t="shared" si="4"/>
        <v>149679.17663009732</v>
      </c>
      <c r="Q29" s="3">
        <f t="shared" si="2"/>
        <v>53048.157004531015</v>
      </c>
    </row>
    <row r="30" spans="1:17" x14ac:dyDescent="0.25">
      <c r="M30">
        <v>99</v>
      </c>
      <c r="N30">
        <v>5</v>
      </c>
      <c r="O30">
        <f t="shared" si="3"/>
        <v>1466.666666666667</v>
      </c>
      <c r="P30" s="3">
        <f t="shared" si="4"/>
        <v>152423.29486831577</v>
      </c>
      <c r="Q30" s="3">
        <f t="shared" si="2"/>
        <v>55487.373216280743</v>
      </c>
    </row>
    <row r="31" spans="1:17" x14ac:dyDescent="0.25">
      <c r="M31">
        <v>99</v>
      </c>
      <c r="N31">
        <v>6</v>
      </c>
      <c r="O31">
        <f t="shared" si="3"/>
        <v>1466.666666666667</v>
      </c>
      <c r="P31" s="3">
        <f t="shared" si="4"/>
        <v>155217.72194090157</v>
      </c>
      <c r="Q31" s="3">
        <f t="shared" si="2"/>
        <v>57971.308391912549</v>
      </c>
    </row>
    <row r="32" spans="1:17" x14ac:dyDescent="0.25">
      <c r="C32" t="s">
        <v>1047</v>
      </c>
      <c r="D32" t="s">
        <v>1048</v>
      </c>
      <c r="E32">
        <v>0</v>
      </c>
      <c r="M32">
        <v>99</v>
      </c>
      <c r="N32">
        <v>7</v>
      </c>
      <c r="O32">
        <f t="shared" si="3"/>
        <v>1466.666666666667</v>
      </c>
      <c r="P32" s="3">
        <f t="shared" si="4"/>
        <v>158063.38017648476</v>
      </c>
      <c r="Q32" s="3">
        <f t="shared" si="2"/>
        <v>60500.782379097611</v>
      </c>
    </row>
    <row r="33" spans="13:17" x14ac:dyDescent="0.25">
      <c r="M33">
        <v>99</v>
      </c>
      <c r="N33">
        <v>8</v>
      </c>
      <c r="O33">
        <f t="shared" si="3"/>
        <v>1466.666666666667</v>
      </c>
      <c r="P33" s="3">
        <f t="shared" si="4"/>
        <v>160961.20881305364</v>
      </c>
      <c r="Q33" s="3">
        <f t="shared" si="2"/>
        <v>63076.630056047732</v>
      </c>
    </row>
    <row r="34" spans="13:17" x14ac:dyDescent="0.25">
      <c r="M34">
        <v>99</v>
      </c>
      <c r="N34" s="9">
        <v>9</v>
      </c>
      <c r="O34">
        <f t="shared" si="3"/>
        <v>1466.666666666667</v>
      </c>
      <c r="P34" s="3">
        <f t="shared" si="4"/>
        <v>163912.16430795961</v>
      </c>
      <c r="Q34" s="3">
        <f t="shared" si="2"/>
        <v>65699.701607075272</v>
      </c>
    </row>
    <row r="35" spans="13:17" x14ac:dyDescent="0.25">
      <c r="M35">
        <v>99</v>
      </c>
      <c r="N35">
        <v>10</v>
      </c>
      <c r="O35">
        <f t="shared" si="3"/>
        <v>1466.666666666667</v>
      </c>
      <c r="P35" s="3">
        <f t="shared" si="4"/>
        <v>166917.22065360553</v>
      </c>
      <c r="Q35" s="3">
        <f t="shared" si="2"/>
        <v>68370.862803204989</v>
      </c>
    </row>
    <row r="36" spans="13:17" x14ac:dyDescent="0.25">
      <c r="M36">
        <v>99</v>
      </c>
      <c r="N36">
        <v>11</v>
      </c>
      <c r="O36">
        <f t="shared" si="3"/>
        <v>1466.666666666667</v>
      </c>
      <c r="P36" s="3">
        <f t="shared" si="4"/>
        <v>169977.36969892163</v>
      </c>
      <c r="Q36" s="3">
        <f t="shared" si="2"/>
        <v>71090.995287930418</v>
      </c>
    </row>
    <row r="37" spans="13:17" x14ac:dyDescent="0.25">
      <c r="M37">
        <v>99</v>
      </c>
      <c r="N37">
        <v>12</v>
      </c>
      <c r="O37">
        <f t="shared" si="3"/>
        <v>1466.666666666667</v>
      </c>
      <c r="P37" s="3">
        <f t="shared" si="4"/>
        <v>173093.62147673519</v>
      </c>
      <c r="Q37" s="3">
        <f t="shared" si="2"/>
        <v>73860.996868209142</v>
      </c>
    </row>
    <row r="38" spans="13:17" x14ac:dyDescent="0.25">
      <c r="M38">
        <v>100</v>
      </c>
      <c r="N38">
        <v>1</v>
      </c>
      <c r="O38">
        <f t="shared" si="3"/>
        <v>1466.666666666667</v>
      </c>
      <c r="P38" s="3">
        <f t="shared" si="4"/>
        <v>176267.004537142</v>
      </c>
      <c r="Q38" s="3">
        <f t="shared" si="2"/>
        <v>76681.781810792978</v>
      </c>
    </row>
    <row r="39" spans="13:17" x14ac:dyDescent="0.25">
      <c r="M39">
        <v>100</v>
      </c>
      <c r="N39">
        <v>2</v>
      </c>
      <c r="O39">
        <f t="shared" si="3"/>
        <v>1466.666666666667</v>
      </c>
      <c r="P39" s="3">
        <f t="shared" si="4"/>
        <v>179498.5662869896</v>
      </c>
      <c r="Q39" s="3">
        <f t="shared" si="2"/>
        <v>79554.281143990855</v>
      </c>
    </row>
    <row r="40" spans="13:17" x14ac:dyDescent="0.25">
      <c r="M40">
        <v>100</v>
      </c>
      <c r="N40">
        <v>3</v>
      </c>
      <c r="O40">
        <f t="shared" si="3"/>
        <v>1466.666666666667</v>
      </c>
      <c r="P40" s="3">
        <f t="shared" si="4"/>
        <v>182789.37333558442</v>
      </c>
      <c r="Q40" s="3">
        <f t="shared" si="2"/>
        <v>82479.442964964022</v>
      </c>
    </row>
    <row r="41" spans="13:17" x14ac:dyDescent="0.25">
      <c r="M41">
        <v>100</v>
      </c>
      <c r="N41">
        <v>4</v>
      </c>
      <c r="O41">
        <f t="shared" si="3"/>
        <v>1466.666666666667</v>
      </c>
      <c r="P41" s="3">
        <f t="shared" si="4"/>
        <v>186140.5118467368</v>
      </c>
      <c r="Q41" s="3">
        <f t="shared" si="2"/>
        <v>85458.232752655036</v>
      </c>
    </row>
    <row r="42" spans="13:17" x14ac:dyDescent="0.25">
      <c r="M42">
        <v>100</v>
      </c>
      <c r="N42">
        <v>5</v>
      </c>
      <c r="O42">
        <f t="shared" si="3"/>
        <v>1466.666666666667</v>
      </c>
      <c r="P42" s="3">
        <f t="shared" si="4"/>
        <v>189553.08789726029</v>
      </c>
      <c r="Q42" s="3">
        <f t="shared" si="2"/>
        <v>88491.633686453715</v>
      </c>
    </row>
    <row r="43" spans="13:17" x14ac:dyDescent="0.25">
      <c r="M43">
        <v>100</v>
      </c>
      <c r="N43" s="9">
        <v>6</v>
      </c>
      <c r="O43">
        <f t="shared" si="3"/>
        <v>1466.666666666667</v>
      </c>
      <c r="P43" s="3">
        <f t="shared" si="4"/>
        <v>193028.22784204339</v>
      </c>
      <c r="Q43" s="3">
        <f t="shared" si="2"/>
        <v>91580.646970705377</v>
      </c>
    </row>
    <row r="44" spans="13:17" x14ac:dyDescent="0.25">
      <c r="M44">
        <v>100</v>
      </c>
      <c r="N44">
        <v>7</v>
      </c>
      <c r="O44">
        <f t="shared" si="3"/>
        <v>1466.666666666667</v>
      </c>
      <c r="P44" s="3">
        <f t="shared" si="4"/>
        <v>196567.07868581417</v>
      </c>
      <c r="Q44" s="3">
        <f t="shared" si="2"/>
        <v>94726.292165168314</v>
      </c>
    </row>
    <row r="45" spans="13:17" x14ac:dyDescent="0.25">
      <c r="M45">
        <v>100</v>
      </c>
      <c r="N45">
        <v>8</v>
      </c>
      <c r="O45">
        <f t="shared" si="3"/>
        <v>1466.666666666667</v>
      </c>
      <c r="P45" s="3">
        <f t="shared" si="4"/>
        <v>200170.80846172076</v>
      </c>
      <c r="Q45" s="3">
        <f t="shared" si="2"/>
        <v>97929.607521529731</v>
      </c>
    </row>
    <row r="46" spans="13:17" x14ac:dyDescent="0.25">
      <c r="M46">
        <v>100</v>
      </c>
      <c r="N46">
        <v>9</v>
      </c>
      <c r="O46">
        <f t="shared" si="3"/>
        <v>1466.666666666667</v>
      </c>
      <c r="P46" s="3">
        <f t="shared" si="4"/>
        <v>203840.60661685231</v>
      </c>
      <c r="Q46" s="3">
        <f t="shared" si="2"/>
        <v>101191.65032609111</v>
      </c>
    </row>
    <row r="47" spans="13:17" x14ac:dyDescent="0.25">
      <c r="M47">
        <v>100</v>
      </c>
      <c r="N47">
        <v>10</v>
      </c>
      <c r="O47">
        <f t="shared" si="3"/>
        <v>1466.666666666667</v>
      </c>
      <c r="P47" s="3">
        <f t="shared" si="4"/>
        <v>207577.68440482795</v>
      </c>
      <c r="Q47" s="3">
        <f t="shared" si="2"/>
        <v>104513.49724873612</v>
      </c>
    </row>
    <row r="48" spans="13:17" x14ac:dyDescent="0.25">
      <c r="M48">
        <v>100</v>
      </c>
      <c r="N48">
        <v>11</v>
      </c>
      <c r="O48">
        <f t="shared" si="3"/>
        <v>1466.666666666667</v>
      </c>
      <c r="P48" s="3">
        <f t="shared" si="4"/>
        <v>211383.27528558311</v>
      </c>
      <c r="Q48" s="3">
        <f t="shared" si="2"/>
        <v>107896.24469829629</v>
      </c>
    </row>
    <row r="49" spans="13:17" x14ac:dyDescent="0.25">
      <c r="M49">
        <v>100</v>
      </c>
      <c r="N49">
        <v>12</v>
      </c>
      <c r="O49">
        <f t="shared" si="3"/>
        <v>1466.666666666667</v>
      </c>
      <c r="P49" s="3">
        <f t="shared" si="4"/>
        <v>215258.63533248546</v>
      </c>
      <c r="Q49" s="3">
        <f t="shared" si="2"/>
        <v>111341.00918443172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61" sqref="E61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 t="s">
        <v>900</v>
      </c>
      <c r="B58" s="3">
        <v>-457777</v>
      </c>
      <c r="C58" s="11" t="s">
        <v>954</v>
      </c>
      <c r="D58" s="11">
        <v>0</v>
      </c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635093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B188" sqref="B18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651</v>
      </c>
      <c r="E2" s="11">
        <f>IF(B2&gt;0,1,0)</f>
        <v>1</v>
      </c>
      <c r="F2" s="11">
        <f>B2*(D2-E2)</f>
        <v>62855000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649</v>
      </c>
      <c r="E3" s="11">
        <f t="shared" ref="E3:E66" si="1">IF(B3&gt;0,1,0)</f>
        <v>1</v>
      </c>
      <c r="F3" s="11">
        <f t="shared" ref="F3:F66" si="2">B3*(D3-E3)</f>
        <v>1944000000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646</v>
      </c>
      <c r="E4" s="11">
        <f t="shared" si="1"/>
        <v>0</v>
      </c>
      <c r="F4" s="11">
        <f t="shared" si="2"/>
        <v>-129200000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644</v>
      </c>
      <c r="E5" s="11">
        <f t="shared" si="1"/>
        <v>0</v>
      </c>
      <c r="F5" s="11">
        <f t="shared" si="2"/>
        <v>-64400000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643</v>
      </c>
      <c r="E6" s="11">
        <f t="shared" si="1"/>
        <v>0</v>
      </c>
      <c r="F6" s="11">
        <f t="shared" si="2"/>
        <v>-35365000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642</v>
      </c>
      <c r="E7" s="11">
        <f t="shared" si="1"/>
        <v>0</v>
      </c>
      <c r="F7" s="11">
        <f t="shared" si="2"/>
        <v>-128400000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638</v>
      </c>
      <c r="E8" s="11">
        <f t="shared" si="1"/>
        <v>0</v>
      </c>
      <c r="F8" s="11">
        <f t="shared" si="2"/>
        <v>-127600000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628</v>
      </c>
      <c r="E9" s="11">
        <f t="shared" si="1"/>
        <v>0</v>
      </c>
      <c r="F9" s="11">
        <f t="shared" si="2"/>
        <v>-596914000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627</v>
      </c>
      <c r="E10" s="11">
        <f t="shared" si="1"/>
        <v>1</v>
      </c>
      <c r="F10" s="11">
        <f t="shared" si="2"/>
        <v>1252000000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625</v>
      </c>
      <c r="E11" s="11">
        <f t="shared" si="1"/>
        <v>0</v>
      </c>
      <c r="F11" s="11">
        <f t="shared" si="2"/>
        <v>-665625000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622</v>
      </c>
      <c r="E12" s="11">
        <f t="shared" si="1"/>
        <v>0</v>
      </c>
      <c r="F12" s="11">
        <f t="shared" si="2"/>
        <v>-27990000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621</v>
      </c>
      <c r="E13" s="11">
        <f t="shared" si="1"/>
        <v>0</v>
      </c>
      <c r="F13" s="11">
        <f t="shared" si="2"/>
        <v>-1242434700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617</v>
      </c>
      <c r="E14" s="11">
        <f t="shared" si="1"/>
        <v>0</v>
      </c>
      <c r="F14" s="11">
        <f t="shared" si="2"/>
        <v>-123400000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615</v>
      </c>
      <c r="E15" s="11">
        <f t="shared" si="1"/>
        <v>1</v>
      </c>
      <c r="F15" s="11">
        <f t="shared" si="2"/>
        <v>1228000000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615</v>
      </c>
      <c r="E16" s="11">
        <f t="shared" si="1"/>
        <v>1</v>
      </c>
      <c r="F16" s="11">
        <f t="shared" si="2"/>
        <v>1228000000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615</v>
      </c>
      <c r="E17" s="11">
        <f t="shared" si="1"/>
        <v>1</v>
      </c>
      <c r="F17" s="11">
        <f t="shared" si="2"/>
        <v>736800000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615</v>
      </c>
      <c r="E18" s="11">
        <f t="shared" si="1"/>
        <v>1</v>
      </c>
      <c r="F18" s="11">
        <f t="shared" si="2"/>
        <v>614000000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614</v>
      </c>
      <c r="E19" s="11">
        <f t="shared" si="1"/>
        <v>1</v>
      </c>
      <c r="F19" s="11">
        <f t="shared" si="2"/>
        <v>1839000000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614</v>
      </c>
      <c r="E20" s="11">
        <f t="shared" si="1"/>
        <v>0</v>
      </c>
      <c r="F20" s="11">
        <f t="shared" si="2"/>
        <v>-265677800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614</v>
      </c>
      <c r="E21" s="11">
        <f t="shared" si="1"/>
        <v>0</v>
      </c>
      <c r="F21" s="11">
        <f t="shared" si="2"/>
        <v>-265677800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614</v>
      </c>
      <c r="E22" s="11">
        <f t="shared" si="1"/>
        <v>0</v>
      </c>
      <c r="F22" s="11">
        <f t="shared" si="2"/>
        <v>-265677800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614</v>
      </c>
      <c r="E23" s="11">
        <f t="shared" si="1"/>
        <v>0</v>
      </c>
      <c r="F23" s="11">
        <f t="shared" si="2"/>
        <v>-265677800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614</v>
      </c>
      <c r="E24" s="11">
        <f t="shared" si="1"/>
        <v>0</v>
      </c>
      <c r="F24" s="11">
        <f t="shared" si="2"/>
        <v>-265677800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614</v>
      </c>
      <c r="E25" s="11">
        <f t="shared" si="1"/>
        <v>0</v>
      </c>
      <c r="F25" s="11">
        <f t="shared" si="2"/>
        <v>-122800000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613</v>
      </c>
      <c r="E26" s="11">
        <f t="shared" si="1"/>
        <v>1</v>
      </c>
      <c r="F26" s="11">
        <f t="shared" si="2"/>
        <v>1836000000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611</v>
      </c>
      <c r="E27" s="11">
        <f t="shared" si="1"/>
        <v>0</v>
      </c>
      <c r="F27" s="11">
        <f t="shared" si="2"/>
        <v>-122200000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610</v>
      </c>
      <c r="E28" s="11">
        <f t="shared" si="1"/>
        <v>1</v>
      </c>
      <c r="F28" s="11">
        <f t="shared" si="2"/>
        <v>1218000000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609</v>
      </c>
      <c r="E29" s="11">
        <f t="shared" si="1"/>
        <v>0</v>
      </c>
      <c r="F29" s="11">
        <f t="shared" si="2"/>
        <v>-4263487200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608</v>
      </c>
      <c r="E30" s="11">
        <f t="shared" si="1"/>
        <v>0</v>
      </c>
      <c r="F30" s="11">
        <f t="shared" si="2"/>
        <v>-1824547200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607</v>
      </c>
      <c r="E31" s="11">
        <f t="shared" si="1"/>
        <v>0</v>
      </c>
      <c r="F31" s="11">
        <f t="shared" si="2"/>
        <v>-1029411300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604</v>
      </c>
      <c r="E32" s="11">
        <f t="shared" si="1"/>
        <v>1</v>
      </c>
      <c r="F32" s="11">
        <f t="shared" si="2"/>
        <v>599562900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598</v>
      </c>
      <c r="E33" s="11">
        <f t="shared" si="1"/>
        <v>1</v>
      </c>
      <c r="F33" s="11">
        <f t="shared" si="2"/>
        <v>20949327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597</v>
      </c>
      <c r="E34" s="11">
        <f t="shared" si="1"/>
        <v>0</v>
      </c>
      <c r="F34" s="11">
        <f t="shared" si="2"/>
        <v>-507450000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589</v>
      </c>
      <c r="E35" s="11">
        <f t="shared" si="1"/>
        <v>0</v>
      </c>
      <c r="F35" s="11">
        <f t="shared" si="2"/>
        <v>-112204500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588</v>
      </c>
      <c r="E36" s="11">
        <f t="shared" si="1"/>
        <v>1</v>
      </c>
      <c r="F36" s="11">
        <f t="shared" si="2"/>
        <v>117400000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588</v>
      </c>
      <c r="E37" s="11">
        <f t="shared" si="1"/>
        <v>0</v>
      </c>
      <c r="F37" s="11">
        <f t="shared" si="2"/>
        <v>-117600000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566</v>
      </c>
      <c r="E38" s="11">
        <f t="shared" si="1"/>
        <v>1</v>
      </c>
      <c r="F38" s="11">
        <f t="shared" si="2"/>
        <v>169955390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565</v>
      </c>
      <c r="E39" s="11">
        <f t="shared" si="1"/>
        <v>0</v>
      </c>
      <c r="F39" s="11">
        <f t="shared" si="2"/>
        <v>-53675000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565</v>
      </c>
      <c r="E40" s="11">
        <f t="shared" si="1"/>
        <v>0</v>
      </c>
      <c r="F40" s="11">
        <f t="shared" si="2"/>
        <v>-49778195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560</v>
      </c>
      <c r="E41" s="11">
        <f t="shared" si="1"/>
        <v>0</v>
      </c>
      <c r="F41" s="11">
        <f t="shared" si="2"/>
        <v>-67200000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538</v>
      </c>
      <c r="E42" s="11">
        <f t="shared" si="1"/>
        <v>1</v>
      </c>
      <c r="F42" s="11">
        <f t="shared" si="2"/>
        <v>537109548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534</v>
      </c>
      <c r="E43" s="11">
        <f t="shared" si="1"/>
        <v>0</v>
      </c>
      <c r="F43" s="11">
        <f t="shared" si="2"/>
        <v>-42720000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530</v>
      </c>
      <c r="E44" s="11">
        <f t="shared" si="1"/>
        <v>0</v>
      </c>
      <c r="F44" s="11">
        <f t="shared" si="2"/>
        <v>-111845370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529</v>
      </c>
      <c r="E45" s="11">
        <f t="shared" si="1"/>
        <v>0</v>
      </c>
      <c r="F45" s="11">
        <f t="shared" si="2"/>
        <v>-105800000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528</v>
      </c>
      <c r="E46" s="11">
        <f t="shared" si="1"/>
        <v>0</v>
      </c>
      <c r="F46" s="11">
        <f t="shared" si="2"/>
        <v>-50160000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526</v>
      </c>
      <c r="E47" s="11">
        <f t="shared" si="1"/>
        <v>0</v>
      </c>
      <c r="F47" s="11">
        <f t="shared" si="2"/>
        <v>-23670000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526</v>
      </c>
      <c r="E48" s="11">
        <f t="shared" si="1"/>
        <v>0</v>
      </c>
      <c r="F48" s="11">
        <f t="shared" si="2"/>
        <v>-33758680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523</v>
      </c>
      <c r="E49" s="11">
        <f t="shared" si="1"/>
        <v>0</v>
      </c>
      <c r="F49" s="11">
        <f t="shared" si="2"/>
        <v>-14374132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522</v>
      </c>
      <c r="E50" s="11">
        <f t="shared" si="1"/>
        <v>0</v>
      </c>
      <c r="F50" s="11">
        <f t="shared" si="2"/>
        <v>-73602000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522</v>
      </c>
      <c r="E51" s="11">
        <f t="shared" si="1"/>
        <v>0</v>
      </c>
      <c r="F51" s="11">
        <f t="shared" si="2"/>
        <v>-13961412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521</v>
      </c>
      <c r="E52" s="11">
        <f t="shared" si="1"/>
        <v>0</v>
      </c>
      <c r="F52" s="11">
        <f t="shared" si="2"/>
        <v>-27769300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520</v>
      </c>
      <c r="E53" s="11">
        <f t="shared" si="1"/>
        <v>1</v>
      </c>
      <c r="F53" s="11">
        <f t="shared" si="2"/>
        <v>519000000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514</v>
      </c>
      <c r="E54" s="11">
        <f t="shared" si="1"/>
        <v>0</v>
      </c>
      <c r="F54" s="11">
        <f t="shared" si="2"/>
        <v>-10794000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513</v>
      </c>
      <c r="E55" s="11">
        <f t="shared" si="1"/>
        <v>0</v>
      </c>
      <c r="F55" s="11">
        <f t="shared" si="2"/>
        <v>-502996500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513</v>
      </c>
      <c r="E56" s="11">
        <f t="shared" si="1"/>
        <v>0</v>
      </c>
      <c r="F56" s="11">
        <f t="shared" si="2"/>
        <v>-23085000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500</v>
      </c>
      <c r="E57" s="11">
        <f t="shared" si="1"/>
        <v>1</v>
      </c>
      <c r="F57" s="11">
        <f t="shared" si="2"/>
        <v>1499589311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500</v>
      </c>
      <c r="E58" s="11">
        <f t="shared" si="1"/>
        <v>1</v>
      </c>
      <c r="F58" s="11">
        <f t="shared" si="2"/>
        <v>998000000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499</v>
      </c>
      <c r="E59" s="11">
        <f t="shared" si="1"/>
        <v>1</v>
      </c>
      <c r="F59" s="11">
        <f t="shared" si="2"/>
        <v>996000000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499</v>
      </c>
      <c r="E60" s="11">
        <f t="shared" si="1"/>
        <v>0</v>
      </c>
      <c r="F60" s="11">
        <f t="shared" si="2"/>
        <v>-3493748500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475</v>
      </c>
      <c r="E61" s="11">
        <f t="shared" si="1"/>
        <v>1</v>
      </c>
      <c r="F61" s="11">
        <f t="shared" si="2"/>
        <v>1422000000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474</v>
      </c>
      <c r="E62" s="11">
        <f t="shared" si="1"/>
        <v>0</v>
      </c>
      <c r="F62" s="11">
        <f t="shared" si="2"/>
        <v>-12849666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474</v>
      </c>
      <c r="E63" s="11">
        <f t="shared" si="1"/>
        <v>0</v>
      </c>
      <c r="F63" s="11">
        <f t="shared" si="2"/>
        <v>-15636786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474</v>
      </c>
      <c r="E64" s="11">
        <f t="shared" si="1"/>
        <v>1</v>
      </c>
      <c r="F64" s="11">
        <f t="shared" si="2"/>
        <v>1419000000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474</v>
      </c>
      <c r="E65" s="11">
        <f t="shared" si="1"/>
        <v>1</v>
      </c>
      <c r="F65" s="11">
        <f t="shared" si="2"/>
        <v>1404810000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474</v>
      </c>
      <c r="E66" s="11">
        <f t="shared" si="1"/>
        <v>1</v>
      </c>
      <c r="F66" s="11">
        <f t="shared" si="2"/>
        <v>473000000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474</v>
      </c>
      <c r="E67" s="11">
        <f t="shared" ref="E67:E130" si="4">IF(B67&gt;0,1,0)</f>
        <v>1</v>
      </c>
      <c r="F67" s="11">
        <f t="shared" ref="F67:F200" si="5">B67*(D67-E67)</f>
        <v>14190000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473</v>
      </c>
      <c r="E68" s="11">
        <f t="shared" si="4"/>
        <v>1</v>
      </c>
      <c r="F68" s="11">
        <f t="shared" si="5"/>
        <v>14160000000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472</v>
      </c>
      <c r="E69" s="11">
        <f t="shared" si="4"/>
        <v>0</v>
      </c>
      <c r="F69" s="11">
        <f t="shared" si="5"/>
        <v>-94400000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472</v>
      </c>
      <c r="E70" s="11">
        <f t="shared" si="4"/>
        <v>1</v>
      </c>
      <c r="F70" s="11">
        <f t="shared" si="5"/>
        <v>659400000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472</v>
      </c>
      <c r="E71" s="11">
        <f t="shared" si="4"/>
        <v>1</v>
      </c>
      <c r="F71" s="11">
        <f t="shared" si="5"/>
        <v>1224600000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472</v>
      </c>
      <c r="E72" s="11">
        <f t="shared" si="4"/>
        <v>0</v>
      </c>
      <c r="F72" s="11">
        <f t="shared" si="5"/>
        <v>-472000000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470</v>
      </c>
      <c r="E73" s="11">
        <f t="shared" si="4"/>
        <v>1</v>
      </c>
      <c r="F73" s="11">
        <f t="shared" si="5"/>
        <v>7035000000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465</v>
      </c>
      <c r="E74" s="11">
        <f t="shared" si="4"/>
        <v>0</v>
      </c>
      <c r="F74" s="11">
        <f t="shared" si="5"/>
        <v>-6976953000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463</v>
      </c>
      <c r="E75" s="11">
        <f t="shared" si="4"/>
        <v>0</v>
      </c>
      <c r="F75" s="11">
        <f t="shared" si="5"/>
        <v>-1389000000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463</v>
      </c>
      <c r="E76" s="11">
        <f t="shared" si="4"/>
        <v>0</v>
      </c>
      <c r="F76" s="11">
        <f t="shared" si="5"/>
        <v>-92600000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463</v>
      </c>
      <c r="E77" s="11">
        <f t="shared" si="4"/>
        <v>0</v>
      </c>
      <c r="F77" s="11">
        <f t="shared" si="5"/>
        <v>-5557389000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459</v>
      </c>
      <c r="E78" s="11">
        <f t="shared" si="4"/>
        <v>0</v>
      </c>
      <c r="F78" s="11">
        <f t="shared" si="5"/>
        <v>-1377413100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454</v>
      </c>
      <c r="E79" s="11">
        <f t="shared" si="4"/>
        <v>1</v>
      </c>
      <c r="F79" s="11">
        <f t="shared" si="5"/>
        <v>10419000000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449</v>
      </c>
      <c r="E80" s="11">
        <f t="shared" si="4"/>
        <v>0</v>
      </c>
      <c r="F80" s="11">
        <f t="shared" si="5"/>
        <v>-269624500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449</v>
      </c>
      <c r="E81" s="11">
        <f t="shared" si="4"/>
        <v>0</v>
      </c>
      <c r="F81" s="11">
        <f t="shared" si="5"/>
        <v>-89800000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448</v>
      </c>
      <c r="E82" s="11">
        <f t="shared" si="4"/>
        <v>1</v>
      </c>
      <c r="F82" s="11">
        <f t="shared" si="5"/>
        <v>126599787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448</v>
      </c>
      <c r="E83" s="11">
        <f t="shared" si="4"/>
        <v>0</v>
      </c>
      <c r="F83" s="11">
        <f t="shared" si="5"/>
        <v>-89600000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446</v>
      </c>
      <c r="E84" s="11">
        <f t="shared" si="4"/>
        <v>1</v>
      </c>
      <c r="F84" s="11">
        <f t="shared" si="5"/>
        <v>890000000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443</v>
      </c>
      <c r="E85" s="11">
        <f t="shared" si="4"/>
        <v>0</v>
      </c>
      <c r="F85" s="11">
        <f t="shared" si="5"/>
        <v>-88600000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437</v>
      </c>
      <c r="E86" s="11">
        <f t="shared" si="4"/>
        <v>0</v>
      </c>
      <c r="F86" s="11">
        <f t="shared" si="5"/>
        <v>-87400000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435</v>
      </c>
      <c r="E87" s="11">
        <f t="shared" si="4"/>
        <v>0</v>
      </c>
      <c r="F87" s="11">
        <f t="shared" si="5"/>
        <v>-576375000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420</v>
      </c>
      <c r="E88" s="11">
        <f t="shared" si="4"/>
        <v>0</v>
      </c>
      <c r="F88" s="11">
        <f t="shared" si="5"/>
        <v>-210000000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420</v>
      </c>
      <c r="E89" s="11">
        <f t="shared" si="4"/>
        <v>0</v>
      </c>
      <c r="F89" s="11">
        <f t="shared" si="5"/>
        <v>-50400000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418</v>
      </c>
      <c r="E90" s="11">
        <f t="shared" si="4"/>
        <v>1</v>
      </c>
      <c r="F90" s="11">
        <f t="shared" si="5"/>
        <v>178561485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415</v>
      </c>
      <c r="E91" s="11">
        <f t="shared" si="4"/>
        <v>0</v>
      </c>
      <c r="F91" s="11">
        <f t="shared" si="5"/>
        <v>-1245830000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413</v>
      </c>
      <c r="E92" s="11">
        <f t="shared" si="4"/>
        <v>0</v>
      </c>
      <c r="F92" s="11">
        <f t="shared" si="5"/>
        <v>-84665000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413</v>
      </c>
      <c r="E93" s="11">
        <f t="shared" si="4"/>
        <v>0</v>
      </c>
      <c r="F93" s="11">
        <f t="shared" si="5"/>
        <v>-144756500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402</v>
      </c>
      <c r="E94" s="11">
        <f t="shared" si="4"/>
        <v>1</v>
      </c>
      <c r="F94" s="11">
        <f t="shared" si="5"/>
        <v>401000000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397</v>
      </c>
      <c r="E95" s="11">
        <f t="shared" si="4"/>
        <v>1</v>
      </c>
      <c r="F95" s="11">
        <f t="shared" si="5"/>
        <v>3564000000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395</v>
      </c>
      <c r="E96" s="11">
        <f t="shared" si="4"/>
        <v>0</v>
      </c>
      <c r="F96" s="11">
        <f t="shared" si="5"/>
        <v>-10270000000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395</v>
      </c>
      <c r="E97" s="11">
        <f t="shared" si="4"/>
        <v>0</v>
      </c>
      <c r="F97" s="11">
        <f t="shared" si="5"/>
        <v>-10270000000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395</v>
      </c>
      <c r="E98" s="11">
        <f t="shared" si="4"/>
        <v>1</v>
      </c>
      <c r="F98" s="11">
        <f t="shared" si="5"/>
        <v>10244000000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395</v>
      </c>
      <c r="E99" s="11">
        <f t="shared" si="4"/>
        <v>0</v>
      </c>
      <c r="F99" s="11">
        <f t="shared" si="5"/>
        <v>-79000000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393</v>
      </c>
      <c r="E100" s="11">
        <f t="shared" si="4"/>
        <v>1</v>
      </c>
      <c r="F100" s="11">
        <f t="shared" si="5"/>
        <v>11446400000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388</v>
      </c>
      <c r="E101" s="11">
        <f t="shared" si="4"/>
        <v>1</v>
      </c>
      <c r="F101" s="11">
        <f t="shared" si="5"/>
        <v>154778715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387</v>
      </c>
      <c r="E102" s="11">
        <f t="shared" si="4"/>
        <v>1</v>
      </c>
      <c r="F102" s="11">
        <f t="shared" si="5"/>
        <v>772000000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386</v>
      </c>
      <c r="E103" s="11">
        <f t="shared" si="4"/>
        <v>1</v>
      </c>
      <c r="F103" s="11">
        <f t="shared" si="5"/>
        <v>2887500000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386</v>
      </c>
      <c r="E104" s="11">
        <f t="shared" si="4"/>
        <v>0</v>
      </c>
      <c r="F104" s="11">
        <f t="shared" si="5"/>
        <v>-25476000000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386</v>
      </c>
      <c r="E105" s="11">
        <f t="shared" si="4"/>
        <v>0</v>
      </c>
      <c r="F105" s="11">
        <f t="shared" si="5"/>
        <v>-55970000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384</v>
      </c>
      <c r="E106" s="11">
        <f t="shared" si="4"/>
        <v>1</v>
      </c>
      <c r="F106" s="11">
        <f t="shared" si="5"/>
        <v>2298000000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382</v>
      </c>
      <c r="E107" s="11">
        <f t="shared" si="4"/>
        <v>0</v>
      </c>
      <c r="F107" s="11">
        <f t="shared" si="5"/>
        <v>-2294253800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379</v>
      </c>
      <c r="E108" s="11">
        <f t="shared" si="4"/>
        <v>1</v>
      </c>
      <c r="F108" s="11">
        <f t="shared" si="5"/>
        <v>2268000000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367</v>
      </c>
      <c r="E109" s="11">
        <f t="shared" si="4"/>
        <v>0</v>
      </c>
      <c r="F109" s="11">
        <f t="shared" si="5"/>
        <v>-44040000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366</v>
      </c>
      <c r="E110" s="11">
        <f t="shared" si="4"/>
        <v>1</v>
      </c>
      <c r="F110" s="11">
        <f t="shared" si="5"/>
        <v>1460000000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365</v>
      </c>
      <c r="E111" s="11">
        <f t="shared" si="4"/>
        <v>1</v>
      </c>
      <c r="F111" s="11">
        <f t="shared" si="5"/>
        <v>1019200000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361</v>
      </c>
      <c r="E112" s="11">
        <f t="shared" si="4"/>
        <v>0</v>
      </c>
      <c r="F112" s="11">
        <f t="shared" si="5"/>
        <v>-72200000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360</v>
      </c>
      <c r="E113" s="11">
        <f t="shared" si="4"/>
        <v>1</v>
      </c>
      <c r="F113" s="11">
        <f t="shared" si="5"/>
        <v>25959290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343</v>
      </c>
      <c r="E114" s="11">
        <f t="shared" si="4"/>
        <v>0</v>
      </c>
      <c r="F114" s="11">
        <f t="shared" si="5"/>
        <v>-68600000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342</v>
      </c>
      <c r="E115" s="11">
        <f t="shared" si="4"/>
        <v>0</v>
      </c>
      <c r="F115" s="23">
        <f t="shared" si="5"/>
        <v>-3762000000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342</v>
      </c>
      <c r="E116" s="11">
        <f t="shared" si="4"/>
        <v>0</v>
      </c>
      <c r="F116" s="11">
        <f t="shared" si="5"/>
        <v>-68400000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340</v>
      </c>
      <c r="E117" s="11">
        <f t="shared" si="4"/>
        <v>0</v>
      </c>
      <c r="F117" s="11">
        <f t="shared" si="5"/>
        <v>-153170000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340</v>
      </c>
      <c r="E118" s="11">
        <f t="shared" si="4"/>
        <v>0</v>
      </c>
      <c r="F118" s="11">
        <f t="shared" si="5"/>
        <v>-68000000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334</v>
      </c>
      <c r="E119" s="11">
        <f t="shared" si="4"/>
        <v>0</v>
      </c>
      <c r="F119" s="11">
        <f t="shared" si="5"/>
        <v>-51619700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334</v>
      </c>
      <c r="E120" s="11">
        <f t="shared" si="4"/>
        <v>0</v>
      </c>
      <c r="F120" s="11">
        <f t="shared" si="5"/>
        <v>-106880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333</v>
      </c>
      <c r="E121" s="11">
        <f t="shared" si="4"/>
        <v>0</v>
      </c>
      <c r="F121" s="11">
        <f t="shared" si="5"/>
        <v>-143856000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327</v>
      </c>
      <c r="E122" s="11">
        <f t="shared" si="4"/>
        <v>1</v>
      </c>
      <c r="F122" s="11">
        <f t="shared" si="5"/>
        <v>24138018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306</v>
      </c>
      <c r="E123" s="11">
        <f t="shared" si="4"/>
        <v>0</v>
      </c>
      <c r="F123" s="11">
        <f t="shared" si="5"/>
        <v>-15912000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265</v>
      </c>
      <c r="E124" s="11">
        <f t="shared" si="4"/>
        <v>1</v>
      </c>
      <c r="F124" s="11">
        <f t="shared" si="5"/>
        <v>313368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264</v>
      </c>
      <c r="E125" s="11">
        <f t="shared" si="4"/>
        <v>1</v>
      </c>
      <c r="F125" s="11">
        <f t="shared" si="5"/>
        <v>631200000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262</v>
      </c>
      <c r="E126" s="11">
        <f t="shared" si="4"/>
        <v>1</v>
      </c>
      <c r="F126" s="11">
        <f t="shared" si="5"/>
        <v>350470800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262</v>
      </c>
      <c r="E127" s="11">
        <f t="shared" si="4"/>
        <v>1</v>
      </c>
      <c r="F127" s="11">
        <f t="shared" si="5"/>
        <v>350470800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250</v>
      </c>
      <c r="E128" s="11">
        <f t="shared" si="4"/>
        <v>0</v>
      </c>
      <c r="F128" s="11">
        <f t="shared" si="5"/>
        <v>-50000000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248</v>
      </c>
      <c r="E129" s="11">
        <f t="shared" si="4"/>
        <v>0</v>
      </c>
      <c r="F129" s="11">
        <f>B129*(D129-E129)</f>
        <v>-3873264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247</v>
      </c>
      <c r="E130" s="11">
        <f t="shared" si="4"/>
        <v>0</v>
      </c>
      <c r="F130" s="11">
        <f t="shared" si="5"/>
        <v>-49400000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246</v>
      </c>
      <c r="E131" s="11">
        <f t="shared" ref="E131:E201" si="7">IF(B131&gt;0,1,0)</f>
        <v>0</v>
      </c>
      <c r="F131" s="11">
        <f t="shared" si="5"/>
        <v>-49200000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245</v>
      </c>
      <c r="E132" s="11">
        <f t="shared" si="7"/>
        <v>0</v>
      </c>
      <c r="F132" s="11">
        <f t="shared" si="5"/>
        <v>-95550000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245</v>
      </c>
      <c r="E133" s="11">
        <f t="shared" si="7"/>
        <v>0</v>
      </c>
      <c r="F133" s="11">
        <f t="shared" si="5"/>
        <v>-6002500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244</v>
      </c>
      <c r="E134" s="11">
        <f t="shared" si="7"/>
        <v>0</v>
      </c>
      <c r="F134" s="11">
        <f t="shared" si="5"/>
        <v>-23180000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240</v>
      </c>
      <c r="E135" s="11">
        <f t="shared" si="7"/>
        <v>0</v>
      </c>
      <c r="F135" s="11">
        <f t="shared" si="5"/>
        <v>-48000000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238</v>
      </c>
      <c r="E136" s="11">
        <f t="shared" si="7"/>
        <v>1</v>
      </c>
      <c r="F136" s="11">
        <f t="shared" si="5"/>
        <v>11850000000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237</v>
      </c>
      <c r="E137" s="11">
        <f t="shared" si="7"/>
        <v>1</v>
      </c>
      <c r="F137" s="11">
        <f t="shared" si="5"/>
        <v>2832000000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235</v>
      </c>
      <c r="E138" s="11">
        <f t="shared" si="7"/>
        <v>1</v>
      </c>
      <c r="F138" s="11">
        <f t="shared" si="5"/>
        <v>468000000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234</v>
      </c>
      <c r="E139" s="11">
        <f t="shared" si="7"/>
        <v>1</v>
      </c>
      <c r="F139" s="11">
        <f t="shared" si="5"/>
        <v>20396354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221</v>
      </c>
      <c r="E140" s="11">
        <f t="shared" si="7"/>
        <v>0</v>
      </c>
      <c r="F140" s="11">
        <f t="shared" si="5"/>
        <v>-663198900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220</v>
      </c>
      <c r="E141" s="11">
        <f t="shared" si="7"/>
        <v>0</v>
      </c>
      <c r="F141" s="11">
        <f t="shared" si="5"/>
        <v>-660198000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203</v>
      </c>
      <c r="E142" s="11">
        <f t="shared" si="7"/>
        <v>1</v>
      </c>
      <c r="F142" s="11">
        <f t="shared" si="5"/>
        <v>121609050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203</v>
      </c>
      <c r="E143" s="11">
        <f t="shared" si="7"/>
        <v>0</v>
      </c>
      <c r="F143" s="11">
        <f t="shared" si="5"/>
        <v>-9338000000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172</v>
      </c>
      <c r="E144" s="11">
        <f t="shared" si="7"/>
        <v>1</v>
      </c>
      <c r="F144" s="11">
        <f t="shared" si="5"/>
        <v>26352297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171</v>
      </c>
      <c r="E145" s="11">
        <f t="shared" si="7"/>
        <v>1</v>
      </c>
      <c r="F145" s="11">
        <f t="shared" si="5"/>
        <v>510000000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168</v>
      </c>
      <c r="E146" s="11">
        <f t="shared" si="7"/>
        <v>0</v>
      </c>
      <c r="F146" s="11">
        <f t="shared" si="5"/>
        <v>-33600000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163</v>
      </c>
      <c r="E147" s="11">
        <f t="shared" si="7"/>
        <v>0</v>
      </c>
      <c r="F147" s="11">
        <f t="shared" si="5"/>
        <v>-32600000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162</v>
      </c>
      <c r="E148" s="11">
        <f t="shared" si="7"/>
        <v>0</v>
      </c>
      <c r="F148" s="11">
        <f t="shared" si="5"/>
        <v>-32400000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158</v>
      </c>
      <c r="E149" s="11">
        <f t="shared" si="7"/>
        <v>0</v>
      </c>
      <c r="F149" s="11">
        <f t="shared" si="5"/>
        <v>-31600000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157</v>
      </c>
      <c r="E150" s="11">
        <f t="shared" si="7"/>
        <v>1</v>
      </c>
      <c r="F150" s="11">
        <f t="shared" si="5"/>
        <v>3755450400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155</v>
      </c>
      <c r="E151" s="11">
        <f t="shared" si="7"/>
        <v>0</v>
      </c>
      <c r="F151" s="11">
        <f t="shared" si="5"/>
        <v>-31000000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149</v>
      </c>
      <c r="E152" s="11">
        <f t="shared" si="7"/>
        <v>0</v>
      </c>
      <c r="F152" s="11">
        <f t="shared" si="5"/>
        <v>-4470000000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148</v>
      </c>
      <c r="E153" s="11">
        <f t="shared" si="7"/>
        <v>0</v>
      </c>
      <c r="F153" s="11">
        <f t="shared" si="5"/>
        <v>-7696000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148</v>
      </c>
      <c r="E154" s="11">
        <f t="shared" si="7"/>
        <v>0</v>
      </c>
      <c r="F154" s="11">
        <f t="shared" si="5"/>
        <v>-20128000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143</v>
      </c>
      <c r="E155" s="11">
        <f t="shared" si="7"/>
        <v>1</v>
      </c>
      <c r="F155" s="11">
        <f t="shared" si="5"/>
        <v>426000000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142</v>
      </c>
      <c r="E156" s="11">
        <f t="shared" si="7"/>
        <v>1</v>
      </c>
      <c r="F156" s="11">
        <f t="shared" si="5"/>
        <v>26663523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142</v>
      </c>
      <c r="E157" s="11">
        <f t="shared" si="7"/>
        <v>1</v>
      </c>
      <c r="F157" s="11">
        <f t="shared" si="5"/>
        <v>3416105700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134</v>
      </c>
      <c r="E158" s="11">
        <f t="shared" si="7"/>
        <v>1</v>
      </c>
      <c r="F158" s="11">
        <f t="shared" si="5"/>
        <v>3231261600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134</v>
      </c>
      <c r="E159" s="11">
        <f t="shared" si="7"/>
        <v>0</v>
      </c>
      <c r="F159" s="11">
        <f t="shared" si="5"/>
        <v>-26934000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129</v>
      </c>
      <c r="E160" s="11">
        <f t="shared" si="7"/>
        <v>0</v>
      </c>
      <c r="F160" s="11">
        <f t="shared" si="5"/>
        <v>-25800000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126</v>
      </c>
      <c r="E161" s="11">
        <f t="shared" si="7"/>
        <v>0</v>
      </c>
      <c r="F161" s="11">
        <f t="shared" si="5"/>
        <v>-25200000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122</v>
      </c>
      <c r="E162" s="11">
        <f t="shared" si="7"/>
        <v>0</v>
      </c>
      <c r="F162" s="11">
        <f t="shared" si="5"/>
        <v>-24400000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119</v>
      </c>
      <c r="E163" s="11">
        <f t="shared" si="7"/>
        <v>0</v>
      </c>
      <c r="F163" s="11">
        <f t="shared" si="5"/>
        <v>-23800000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112</v>
      </c>
      <c r="E164" s="11">
        <f t="shared" si="7"/>
        <v>1</v>
      </c>
      <c r="F164" s="11">
        <f t="shared" si="5"/>
        <v>50801814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109</v>
      </c>
      <c r="E165" s="11">
        <f t="shared" si="7"/>
        <v>1</v>
      </c>
      <c r="F165" s="11">
        <f t="shared" si="5"/>
        <v>291600000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109</v>
      </c>
      <c r="E166" s="11">
        <f t="shared" si="7"/>
        <v>1</v>
      </c>
      <c r="F166" s="11">
        <f t="shared" si="5"/>
        <v>270000000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102</v>
      </c>
      <c r="E167" s="11">
        <f t="shared" si="7"/>
        <v>0</v>
      </c>
      <c r="F167" s="11">
        <f t="shared" si="5"/>
        <v>-20400000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100</v>
      </c>
      <c r="E168" s="11">
        <f t="shared" si="7"/>
        <v>0</v>
      </c>
      <c r="F168" s="11">
        <f t="shared" si="5"/>
        <v>-20000000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94</v>
      </c>
      <c r="E169" s="11">
        <f t="shared" si="7"/>
        <v>0</v>
      </c>
      <c r="F169" s="11">
        <f t="shared" si="5"/>
        <v>-18800000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91</v>
      </c>
      <c r="E170" s="11">
        <f t="shared" si="7"/>
        <v>0</v>
      </c>
      <c r="F170" s="11">
        <f t="shared" si="5"/>
        <v>-18200000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91</v>
      </c>
      <c r="E171" s="11">
        <f t="shared" si="7"/>
        <v>1</v>
      </c>
      <c r="F171" s="11">
        <f t="shared" si="5"/>
        <v>270000000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88</v>
      </c>
      <c r="E172" s="11">
        <f t="shared" si="7"/>
        <v>0</v>
      </c>
      <c r="F172" s="11">
        <f t="shared" si="5"/>
        <v>-17600000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87</v>
      </c>
      <c r="E173" s="11">
        <f t="shared" si="7"/>
        <v>1</v>
      </c>
      <c r="F173" s="11">
        <f t="shared" si="5"/>
        <v>258000000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86</v>
      </c>
      <c r="E174" s="11">
        <f t="shared" si="7"/>
        <v>1</v>
      </c>
      <c r="F174" s="11">
        <f t="shared" si="5"/>
        <v>170000000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85</v>
      </c>
      <c r="E175" s="11">
        <f t="shared" si="7"/>
        <v>1</v>
      </c>
      <c r="F175" s="11">
        <f t="shared" si="5"/>
        <v>109200000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83</v>
      </c>
      <c r="E176" s="11">
        <f t="shared" si="7"/>
        <v>0</v>
      </c>
      <c r="F176" s="11">
        <f t="shared" si="5"/>
        <v>-16600000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83</v>
      </c>
      <c r="E177" s="11">
        <f t="shared" si="7"/>
        <v>1</v>
      </c>
      <c r="F177" s="11">
        <f t="shared" si="5"/>
        <v>139400000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82</v>
      </c>
      <c r="E178" s="11">
        <f t="shared" si="7"/>
        <v>0</v>
      </c>
      <c r="F178" s="11">
        <f t="shared" si="5"/>
        <v>-16400000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81</v>
      </c>
      <c r="E179" s="11">
        <f t="shared" si="7"/>
        <v>1</v>
      </c>
      <c r="F179" s="11">
        <f t="shared" si="5"/>
        <v>45719360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78</v>
      </c>
      <c r="E180" s="11">
        <f t="shared" si="7"/>
        <v>1</v>
      </c>
      <c r="F180" s="11">
        <f t="shared" si="5"/>
        <v>231000000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71</v>
      </c>
      <c r="E181" s="11">
        <f t="shared" si="7"/>
        <v>1</v>
      </c>
      <c r="F181" s="11">
        <f t="shared" si="5"/>
        <v>140000000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63</v>
      </c>
      <c r="E182" s="11">
        <f t="shared" si="7"/>
        <v>0</v>
      </c>
      <c r="F182" s="11">
        <f t="shared" si="5"/>
        <v>-138644100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51</v>
      </c>
      <c r="E183" s="11">
        <f t="shared" si="7"/>
        <v>1</v>
      </c>
      <c r="F183" s="11">
        <f t="shared" si="5"/>
        <v>33754350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21</v>
      </c>
      <c r="E184" s="11">
        <f t="shared" si="7"/>
        <v>1</v>
      </c>
      <c r="F184" s="11">
        <f t="shared" si="5"/>
        <v>13540000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6</v>
      </c>
      <c r="E185" s="11">
        <f t="shared" si="7"/>
        <v>0</v>
      </c>
      <c r="F185" s="11">
        <f t="shared" si="5"/>
        <v>-60000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1</v>
      </c>
      <c r="D186" s="11">
        <f t="shared" ref="D186:D201" si="8">D187+C186</f>
        <v>1</v>
      </c>
      <c r="E186" s="11">
        <f t="shared" si="7"/>
        <v>0</v>
      </c>
      <c r="F186" s="11">
        <f t="shared" si="5"/>
        <v>-80500000</v>
      </c>
      <c r="G186" s="11"/>
    </row>
    <row r="187" spans="1:7" x14ac:dyDescent="0.25">
      <c r="A187" s="11"/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/>
      <c r="C189" s="11"/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si="5"/>
        <v>0</v>
      </c>
      <c r="G190" s="11"/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2716399</v>
      </c>
      <c r="C202" s="11"/>
      <c r="D202" s="11"/>
      <c r="E202" s="11"/>
      <c r="F202" s="29">
        <f>SUM(F2:F200)</f>
        <v>18240926502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28019856.377880186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abSelected="1" topLeftCell="G10" zoomScaleNormal="100" workbookViewId="0">
      <selection activeCell="L24" sqref="L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70" t="s">
        <v>8</v>
      </c>
      <c r="S1" s="29" t="s">
        <v>180</v>
      </c>
      <c r="T1" s="29" t="s">
        <v>267</v>
      </c>
      <c r="U1" s="11" t="s">
        <v>183</v>
      </c>
      <c r="V1" s="70" t="s">
        <v>282</v>
      </c>
      <c r="W1" s="70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78000000</v>
      </c>
      <c r="O2" s="29">
        <v>145000000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24000000</v>
      </c>
      <c r="O5" s="29">
        <v>40000000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110400000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69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177400000</v>
      </c>
      <c r="O11" s="29">
        <f>SUM(O2:O9)</f>
        <v>200000000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6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3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3">
        <v>73900000</v>
      </c>
      <c r="G13" s="29">
        <f t="shared" si="0"/>
        <v>-2859237.8770112991</v>
      </c>
      <c r="H13" s="11" t="s">
        <v>916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3">
        <f>L26</f>
        <v>81548160.5</v>
      </c>
      <c r="G14" s="29">
        <f t="shared" si="0"/>
        <v>-8528748.9612188637</v>
      </c>
      <c r="H14" s="11"/>
      <c r="L14" s="25"/>
      <c r="O14" s="25"/>
      <c r="R14" s="25"/>
      <c r="S14" s="29" t="s">
        <v>960</v>
      </c>
      <c r="T14" s="29">
        <v>-1500000</v>
      </c>
      <c r="U14" s="11">
        <v>40</v>
      </c>
      <c r="V14" s="29">
        <f t="shared" si="5"/>
        <v>-60000000</v>
      </c>
      <c r="W14" s="11"/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80600000</v>
      </c>
      <c r="F15" s="3"/>
      <c r="G15" s="29"/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82903850</v>
      </c>
      <c r="F16" s="3"/>
      <c r="G16" s="29"/>
      <c r="H16" s="11"/>
      <c r="K16" s="19" t="s">
        <v>300</v>
      </c>
      <c r="L16" s="43">
        <f>'مسکن ایلیا'!B202</f>
        <v>2716399</v>
      </c>
      <c r="M16" s="11" t="s">
        <v>757</v>
      </c>
      <c r="N16" s="29">
        <f>'مسکن مریم یاران'!B126</f>
        <v>1169293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85260695.5</v>
      </c>
      <c r="F17" s="3"/>
      <c r="G17" s="29"/>
      <c r="H17" s="11"/>
      <c r="K17" s="2" t="s">
        <v>454</v>
      </c>
      <c r="L17" s="43">
        <f>'مسکن علی سید الشهدا'!B70</f>
        <v>635093</v>
      </c>
      <c r="M17" s="11" t="s">
        <v>658</v>
      </c>
      <c r="N17" s="29">
        <f>سارا!D156</f>
        <v>671813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87671665.594999999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-12600000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90137912.653750002</v>
      </c>
      <c r="F19" s="3"/>
      <c r="G19" s="29"/>
      <c r="H19" s="11"/>
      <c r="K19" s="2" t="s">
        <v>85</v>
      </c>
      <c r="L19" s="43">
        <v>-10250000</v>
      </c>
      <c r="M19" s="11" t="s">
        <v>765</v>
      </c>
      <c r="N19" s="29">
        <v>4500000</v>
      </c>
      <c r="S19" s="11"/>
      <c r="T19" s="11" t="s">
        <v>25</v>
      </c>
      <c r="U19" s="11"/>
      <c r="V19" s="70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92660612.791143507</v>
      </c>
      <c r="F20" s="3"/>
      <c r="G20" s="29"/>
      <c r="H20" s="11"/>
      <c r="K20" s="2" t="s">
        <v>457</v>
      </c>
      <c r="L20" s="43">
        <v>198000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95240966.350128055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10250000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97880198.393323928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100579559.20454563</v>
      </c>
      <c r="F23" s="3"/>
      <c r="G23" s="29"/>
      <c r="H23" s="11"/>
      <c r="I23" s="7"/>
      <c r="J23" s="28"/>
      <c r="K23" s="2" t="s">
        <v>953</v>
      </c>
      <c r="L23" s="43">
        <f>'لیست خرید و فروش'!C41</f>
        <v>169448668.5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103340324.80042534</v>
      </c>
      <c r="F24" s="3"/>
      <c r="G24" s="11"/>
      <c r="H24" s="11"/>
      <c r="J24" s="55"/>
      <c r="K24" s="11" t="s">
        <v>1062</v>
      </c>
      <c r="L24" s="43">
        <v>-87000000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106163797.45234053</v>
      </c>
      <c r="F25" s="3"/>
      <c r="G25" s="11"/>
      <c r="H25" s="11"/>
      <c r="J25" s="25"/>
      <c r="K25" s="11"/>
      <c r="L25" s="43"/>
      <c r="M25" s="11" t="s">
        <v>1063</v>
      </c>
      <c r="N25" s="29">
        <f>-L24</f>
        <v>87000000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109051306.21885309</v>
      </c>
      <c r="F26" s="3"/>
      <c r="G26" s="11"/>
      <c r="H26" s="11"/>
      <c r="J26" s="25"/>
      <c r="K26" s="2" t="s">
        <v>599</v>
      </c>
      <c r="L26" s="3">
        <f>SUM(L16:L24)</f>
        <v>81548160.5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112004207.48887053</v>
      </c>
      <c r="F27" s="3"/>
      <c r="G27" s="11"/>
      <c r="H27" s="11"/>
      <c r="J27" s="25"/>
      <c r="K27" s="2" t="s">
        <v>600</v>
      </c>
      <c r="L27" s="3">
        <f>L16+L17+L20</f>
        <v>3549492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115023885.53574474</v>
      </c>
      <c r="F28" s="3"/>
      <c r="G28" s="11"/>
      <c r="H28" s="11"/>
      <c r="K28" s="56" t="s">
        <v>719</v>
      </c>
      <c r="L28" s="1">
        <f>L26+N7</f>
        <v>138548160.5</v>
      </c>
      <c r="M28" s="29" t="s">
        <v>6</v>
      </c>
      <c r="N28" s="29">
        <f>SUM(N16:N27)</f>
        <v>143641106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118111753.08252741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121269251.87860641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124497853.28795128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127799058.88920076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131174401.08783013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134625443.74064055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138153782.79281771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141761046.92781207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145448898.23029768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149219032.86247233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153073181.75396612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157013111.30563226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161040624.10749757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165157559.67115775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169365795.1769062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173667246.23589286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178063867.66761377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182557654.29303911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187150641.74369368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191844907.2870093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196642570.66827562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201545794.96952257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206556787.48567325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211677800.61831456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216911132.78743798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222259129.36151141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227724183.60624957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233308737.65245757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239015283.48333055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244846363.94159925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250804573.75691932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256892560.59391072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263113026.12126046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269468727.10231191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7">
        <v>500000</v>
      </c>
      <c r="L65" s="48" t="s">
        <v>480</v>
      </c>
    </row>
    <row r="66" spans="1:12" x14ac:dyDescent="0.25">
      <c r="K66" s="47">
        <v>130000</v>
      </c>
      <c r="L66" s="48" t="s">
        <v>559</v>
      </c>
    </row>
    <row r="67" spans="1:12" x14ac:dyDescent="0.25">
      <c r="A67" t="s">
        <v>25</v>
      </c>
      <c r="K67" s="47">
        <v>300000</v>
      </c>
      <c r="L67" s="48" t="s">
        <v>796</v>
      </c>
    </row>
    <row r="68" spans="1:12" x14ac:dyDescent="0.25">
      <c r="K68" s="47">
        <v>500000</v>
      </c>
      <c r="L68" s="48" t="s">
        <v>797</v>
      </c>
    </row>
    <row r="69" spans="1:12" x14ac:dyDescent="0.25">
      <c r="K69" s="47">
        <v>500000</v>
      </c>
      <c r="L69" s="48" t="s">
        <v>798</v>
      </c>
    </row>
    <row r="70" spans="1:12" x14ac:dyDescent="0.25">
      <c r="K70" s="47">
        <v>75000</v>
      </c>
      <c r="L70" s="48" t="s">
        <v>799</v>
      </c>
    </row>
    <row r="71" spans="1:12" x14ac:dyDescent="0.25">
      <c r="K71" s="47">
        <v>450000</v>
      </c>
      <c r="L71" s="48" t="s">
        <v>801</v>
      </c>
    </row>
    <row r="72" spans="1:12" x14ac:dyDescent="0.25">
      <c r="K72" s="47">
        <v>500000</v>
      </c>
      <c r="L72" s="48" t="s">
        <v>565</v>
      </c>
    </row>
    <row r="73" spans="1:12" x14ac:dyDescent="0.25">
      <c r="K73" s="47">
        <v>50000</v>
      </c>
      <c r="L73" s="48" t="s">
        <v>804</v>
      </c>
    </row>
    <row r="74" spans="1:12" x14ac:dyDescent="0.25">
      <c r="K74" s="47">
        <v>140000</v>
      </c>
      <c r="L74" s="48" t="s">
        <v>315</v>
      </c>
    </row>
    <row r="75" spans="1:12" x14ac:dyDescent="0.25">
      <c r="K75" s="47">
        <f>SUM(K65:K74)</f>
        <v>3145000</v>
      </c>
      <c r="L75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941</v>
      </c>
      <c r="B12" s="3">
        <v>1000000</v>
      </c>
      <c r="C12" t="s">
        <v>944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2018-03-17T12:12:14Z</dcterms:modified>
</cp:coreProperties>
</file>