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S92" i="18" l="1"/>
  <c r="K28" i="52"/>
  <c r="K21" i="52"/>
  <c r="B31" i="52"/>
  <c r="R102" i="18"/>
  <c r="N52" i="18"/>
  <c r="D279" i="20"/>
  <c r="U133" i="18" l="1"/>
  <c r="W130" i="18"/>
  <c r="D278" i="20"/>
  <c r="W109" i="18" l="1"/>
  <c r="W108" i="18"/>
  <c r="W107" i="18"/>
  <c r="G196" i="13"/>
  <c r="B196" i="13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E253" i="15"/>
  <c r="E254" i="15"/>
  <c r="E255" i="15"/>
  <c r="E256" i="15"/>
  <c r="E257" i="15"/>
  <c r="E258" i="15"/>
  <c r="E259" i="15"/>
  <c r="D277" i="20"/>
  <c r="AJ116" i="18"/>
  <c r="F260" i="15" l="1"/>
  <c r="F269" i="15"/>
  <c r="F265" i="15"/>
  <c r="F261" i="15"/>
  <c r="F268" i="15"/>
  <c r="F264" i="15"/>
  <c r="F267" i="15"/>
  <c r="F263" i="15"/>
  <c r="F266" i="15"/>
  <c r="F262" i="15"/>
  <c r="S102" i="18"/>
  <c r="AR14" i="18"/>
  <c r="AJ160" i="18"/>
  <c r="S101" i="18" l="1"/>
  <c r="D276" i="20"/>
  <c r="K280" i="20"/>
  <c r="K281" i="20"/>
  <c r="K282" i="20"/>
  <c r="K283" i="20"/>
  <c r="K284" i="20"/>
  <c r="J280" i="20"/>
  <c r="J281" i="20"/>
  <c r="J282" i="20"/>
  <c r="J283" i="20"/>
  <c r="J284" i="20"/>
  <c r="I280" i="20"/>
  <c r="I281" i="20"/>
  <c r="I282" i="20"/>
  <c r="I283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7" i="18"/>
  <c r="N49" i="18"/>
  <c r="J279" i="20" l="1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15" i="18"/>
  <c r="AL114" i="18" l="1"/>
  <c r="AM115" i="18"/>
  <c r="D270" i="20"/>
  <c r="N51" i="18"/>
  <c r="AL113" i="18" l="1"/>
  <c r="AM114" i="18"/>
  <c r="B286" i="20"/>
  <c r="H270" i="20"/>
  <c r="H271" i="20"/>
  <c r="H272" i="20"/>
  <c r="D269" i="20"/>
  <c r="H269" i="20"/>
  <c r="AL112" i="18" l="1"/>
  <c r="AM113" i="18"/>
  <c r="S55" i="18"/>
  <c r="N50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19" i="52"/>
  <c r="K18" i="52"/>
  <c r="AL108" i="18" l="1"/>
  <c r="AM109" i="18"/>
  <c r="H38" i="54"/>
  <c r="I2" i="54"/>
  <c r="I33" i="54" s="1"/>
  <c r="I38" i="54" s="1"/>
  <c r="D32" i="54"/>
  <c r="N105" i="18"/>
  <c r="N106" i="18"/>
  <c r="N107" i="18"/>
  <c r="N108" i="18"/>
  <c r="N109" i="18"/>
  <c r="N110" i="18"/>
  <c r="N111" i="18"/>
  <c r="N112" i="18"/>
  <c r="N104" i="18"/>
  <c r="AL107" i="18" l="1"/>
  <c r="AM108" i="18"/>
  <c r="C286" i="20"/>
  <c r="M13" i="52"/>
  <c r="M12" i="52"/>
  <c r="M6" i="52"/>
  <c r="L12" i="52" s="1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9" i="18"/>
  <c r="N35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28" i="18"/>
  <c r="P28" i="18"/>
  <c r="N28" i="18" s="1"/>
  <c r="P24" i="18"/>
  <c r="N24" i="18" s="1"/>
  <c r="AL100" i="18" l="1"/>
  <c r="AM100" i="18" s="1"/>
  <c r="AM101" i="18"/>
  <c r="N48" i="18"/>
  <c r="L33" i="18" l="1"/>
  <c r="W122" i="18" l="1"/>
  <c r="W123" i="18"/>
  <c r="W124" i="18"/>
  <c r="W125" i="18"/>
  <c r="W126" i="18"/>
  <c r="W127" i="18"/>
  <c r="W132" i="18"/>
  <c r="W121" i="18"/>
  <c r="N53" i="18" l="1"/>
  <c r="R157" i="18" l="1"/>
  <c r="R166" i="18"/>
  <c r="R144" i="18"/>
  <c r="T149" i="18" l="1"/>
  <c r="T105" i="18"/>
  <c r="S39" i="18"/>
  <c r="S40" i="18" s="1"/>
  <c r="S41" i="18" s="1"/>
  <c r="R126" i="18"/>
  <c r="R125" i="18"/>
  <c r="R124" i="18"/>
  <c r="D57" i="51"/>
  <c r="S42" i="18" l="1"/>
  <c r="S43" i="18" s="1"/>
  <c r="S44" i="18" s="1"/>
  <c r="M78" i="18" l="1"/>
  <c r="P27" i="18" l="1"/>
  <c r="N27" i="18" s="1"/>
  <c r="R123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4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N78" i="18"/>
  <c r="AL153" i="18" l="1"/>
  <c r="AM154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8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AJ164" i="18" l="1"/>
  <c r="AJ165" i="18" s="1"/>
  <c r="R122" i="18"/>
  <c r="AL145" i="18"/>
  <c r="AM146" i="18"/>
  <c r="Q34" i="18"/>
  <c r="AM84" i="18"/>
  <c r="AL83" i="18"/>
  <c r="AL144" i="18" l="1"/>
  <c r="AM145" i="18"/>
  <c r="AM83" i="18"/>
  <c r="AL82" i="18"/>
  <c r="S56" i="18"/>
  <c r="S57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8" i="18"/>
  <c r="S59" i="18" l="1"/>
  <c r="S60" i="18" s="1"/>
  <c r="S61" i="18" s="1"/>
  <c r="S62" i="18" s="1"/>
  <c r="S63" i="18" s="1"/>
  <c r="S64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6" i="18"/>
  <c r="AC15" i="33"/>
  <c r="AM135" i="18" l="1"/>
  <c r="AL134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S83" i="18"/>
  <c r="S84" i="18" s="1"/>
  <c r="S85" i="18" s="1"/>
  <c r="S86" i="18" s="1"/>
  <c r="S87" i="18" s="1"/>
  <c r="S88" i="18" s="1"/>
  <c r="S8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0" i="18" l="1"/>
  <c r="S91" i="18" s="1"/>
  <c r="S93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8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7" i="18" l="1"/>
  <c r="AJ122" i="18"/>
  <c r="AJ123" i="18" s="1"/>
  <c r="R121" i="18"/>
  <c r="R130" i="18" s="1"/>
  <c r="T136" i="18" s="1"/>
  <c r="G268" i="20"/>
  <c r="I269" i="20"/>
  <c r="K269" i="20"/>
  <c r="J269" i="20"/>
  <c r="AL74" i="18"/>
  <c r="AM75" i="18"/>
  <c r="V139" i="18" l="1"/>
  <c r="S109" i="18"/>
  <c r="G267" i="20"/>
  <c r="K268" i="20"/>
  <c r="J268" i="20"/>
  <c r="I268" i="20"/>
  <c r="U149" i="18"/>
  <c r="AL73" i="18"/>
  <c r="AM74" i="18"/>
  <c r="N84" i="18"/>
  <c r="V91" i="18" l="1"/>
  <c r="X91" i="18" s="1"/>
  <c r="V93" i="18"/>
  <c r="V92" i="18"/>
  <c r="G266" i="20"/>
  <c r="I267" i="20"/>
  <c r="J267" i="20"/>
  <c r="K267" i="20"/>
  <c r="W91" i="18"/>
  <c r="V89" i="18"/>
  <c r="V90" i="18"/>
  <c r="V87" i="18"/>
  <c r="V86" i="18"/>
  <c r="V88" i="18"/>
  <c r="V85" i="18"/>
  <c r="W85" i="18" s="1"/>
  <c r="V82" i="18"/>
  <c r="X82" i="18" s="1"/>
  <c r="V84" i="18"/>
  <c r="V83" i="18"/>
  <c r="V32" i="18"/>
  <c r="V81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V72" i="18"/>
  <c r="W72" i="18" s="1"/>
  <c r="V73" i="18"/>
  <c r="V69" i="18"/>
  <c r="W69" i="18" s="1"/>
  <c r="V71" i="18"/>
  <c r="V70" i="18"/>
  <c r="V149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X93" i="18" l="1"/>
  <c r="W93" i="18"/>
  <c r="X92" i="18"/>
  <c r="W92" i="18"/>
  <c r="G265" i="20"/>
  <c r="I266" i="20"/>
  <c r="J266" i="20"/>
  <c r="K266" i="20"/>
  <c r="X90" i="18"/>
  <c r="W90" i="18"/>
  <c r="W89" i="18"/>
  <c r="X89" i="18"/>
  <c r="W86" i="18"/>
  <c r="X86" i="18"/>
  <c r="W88" i="18"/>
  <c r="X88" i="18"/>
  <c r="X85" i="18"/>
  <c r="W87" i="18"/>
  <c r="X87" i="18"/>
  <c r="W82" i="18"/>
  <c r="W83" i="18"/>
  <c r="X83" i="18"/>
  <c r="W84" i="18"/>
  <c r="X84" i="18"/>
  <c r="W32" i="18"/>
  <c r="X3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S108" i="18"/>
  <c r="N61" i="18"/>
  <c r="S107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N31" i="18" l="1"/>
  <c r="L21" i="18" s="1"/>
  <c r="G264" i="20"/>
  <c r="J265" i="20"/>
  <c r="I265" i="20"/>
  <c r="K265" i="20"/>
  <c r="U108" i="18"/>
  <c r="V108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AM116" i="18" s="1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46" i="15" l="1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4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5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4" i="18" s="1"/>
  <c r="F24" i="18" s="1"/>
  <c r="L65" i="18" l="1"/>
  <c r="E33" i="13"/>
  <c r="G34" i="13"/>
  <c r="I97" i="20"/>
  <c r="K97" i="20"/>
  <c r="J97" i="20"/>
  <c r="F108" i="15"/>
  <c r="C20" i="18"/>
  <c r="G20" i="14"/>
  <c r="G21" i="14"/>
  <c r="L66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1" i="15" l="1"/>
  <c r="F274" i="15" s="1"/>
  <c r="U107" i="18" l="1"/>
  <c r="V107" i="18" s="1"/>
  <c r="U109" i="18"/>
  <c r="V109" i="18" s="1"/>
</calcChain>
</file>

<file path=xl/sharedStrings.xml><?xml version="1.0" encoding="utf-8"?>
<sst xmlns="http://schemas.openxmlformats.org/spreadsheetml/2006/main" count="10047" uniqueCount="4641">
  <si>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</si>
  <si>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</si>
  <si>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</si>
  <si>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</si>
  <si>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</si>
  <si>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</si>
  <si>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</si>
  <si>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</si>
  <si>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</si>
  <si>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</si>
  <si>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</si>
  <si>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</si>
  <si>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</si>
  <si>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</si>
  <si>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</si>
  <si>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</si>
  <si>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</si>
  <si>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</si>
  <si>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</si>
  <si>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</si>
  <si>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</si>
  <si>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</si>
  <si>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</si>
  <si>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</si>
  <si>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</si>
  <si>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</si>
  <si>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</si>
  <si>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</si>
  <si>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</si>
  <si>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</si>
  <si>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</si>
  <si>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</si>
  <si>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</si>
  <si>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</si>
  <si>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</si>
  <si>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</si>
  <si>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</si>
  <si>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</si>
  <si>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</si>
  <si>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</si>
  <si>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</si>
  <si>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</si>
  <si>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</si>
  <si>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</si>
  <si>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</si>
  <si>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</si>
  <si>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</si>
  <si>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</si>
  <si>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</si>
  <si>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</si>
  <si>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</si>
  <si>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</si>
  <si>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</si>
  <si>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</si>
  <si>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</si>
  <si>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</si>
  <si>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</si>
  <si>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</si>
  <si>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</si>
  <si>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</si>
  <si>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</si>
  <si>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</si>
  <si>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</si>
  <si>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</si>
  <si>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</si>
  <si>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</si>
  <si>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</si>
  <si>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</si>
  <si>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</si>
  <si>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</si>
  <si>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</si>
  <si>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</si>
  <si>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</si>
  <si>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</si>
  <si>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</si>
  <si>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</si>
  <si>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</si>
  <si>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</si>
  <si>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</si>
  <si>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</si>
  <si>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</si>
  <si>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</si>
  <si>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</si>
  <si>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</si>
  <si>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</si>
  <si>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</si>
  <si>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</si>
  <si>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</si>
  <si>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</si>
  <si>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</si>
  <si>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</si>
  <si>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</si>
  <si>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</si>
  <si>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</si>
  <si>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</si>
  <si>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</si>
  <si>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</si>
  <si>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</si>
  <si>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</si>
  <si>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</si>
  <si>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</si>
  <si>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</si>
  <si>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</si>
  <si>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</si>
  <si>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</si>
  <si>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</si>
  <si>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</si>
  <si>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</si>
  <si>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</si>
  <si>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</si>
  <si>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</si>
  <si>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</si>
  <si>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</si>
  <si>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</si>
  <si>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</si>
  <si>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</si>
  <si>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</si>
  <si>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</si>
  <si>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</si>
  <si>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</si>
  <si>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</si>
  <si>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</si>
  <si>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</si>
  <si>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</si>
  <si>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</si>
  <si>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</si>
  <si>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</si>
  <si>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</si>
  <si>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</si>
  <si>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</si>
  <si>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</si>
  <si>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</si>
  <si>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</si>
  <si>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</si>
  <si>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</si>
  <si>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</si>
  <si>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</si>
  <si>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</si>
  <si>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</si>
  <si>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</si>
  <si>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</si>
  <si>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</si>
  <si>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</si>
  <si>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</si>
  <si>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</si>
  <si>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</si>
  <si>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</si>
  <si>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</si>
  <si>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</si>
  <si>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</si>
  <si>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</si>
  <si>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</si>
  <si>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</si>
  <si>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</si>
  <si>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</si>
  <si>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</si>
  <si>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</si>
  <si>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</si>
  <si>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</si>
  <si>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</si>
  <si>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</si>
  <si>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</si>
  <si>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</si>
  <si>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</si>
  <si>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</si>
  <si>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</si>
  <si>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</si>
  <si>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</si>
  <si>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</si>
  <si>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</si>
  <si>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</si>
  <si>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</si>
  <si>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</si>
  <si>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</si>
  <si>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</si>
  <si>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</si>
  <si>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</si>
  <si>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</si>
  <si>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</si>
  <si>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</si>
  <si>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</si>
  <si>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</si>
  <si>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</si>
  <si>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</si>
  <si>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</si>
  <si>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</si>
  <si>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</si>
  <si>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</si>
  <si>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</si>
  <si>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</si>
  <si>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</si>
  <si>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</si>
  <si>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</si>
  <si>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</si>
  <si>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</si>
  <si>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</si>
  <si>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</si>
  <si>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</si>
  <si>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</si>
  <si>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</si>
  <si>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</si>
  <si>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</si>
  <si>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</si>
  <si>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</si>
  <si>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</si>
  <si>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</si>
  <si>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</si>
  <si>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</si>
  <si>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</si>
  <si>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</si>
  <si>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</si>
  <si>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</si>
  <si>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</si>
  <si>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</si>
  <si>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</si>
  <si>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</si>
  <si>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</si>
  <si>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</si>
  <si>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</si>
  <si>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</si>
  <si>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</si>
  <si>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</si>
  <si>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</si>
  <si>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</si>
  <si>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</si>
  <si>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</si>
  <si>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</si>
  <si>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</si>
  <si>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</si>
  <si>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</si>
  <si>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</si>
  <si>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</si>
  <si>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</si>
  <si>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</si>
  <si>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</si>
  <si>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</si>
  <si>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</si>
  <si>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</si>
  <si>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</si>
  <si>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</si>
  <si>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</si>
  <si>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</si>
  <si>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</si>
  <si>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</si>
  <si>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</si>
  <si>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</si>
  <si>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</si>
  <si>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</si>
  <si>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</si>
  <si>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</si>
  <si>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</si>
  <si>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</si>
  <si>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</si>
  <si>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</si>
  <si>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</si>
  <si>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</si>
  <si>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</si>
  <si>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</si>
  <si>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</si>
  <si>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</si>
  <si>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</si>
  <si>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</si>
  <si>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</si>
  <si>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</si>
  <si>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</si>
  <si>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</si>
  <si>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</si>
  <si>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</si>
  <si>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</si>
  <si>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</si>
  <si>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</si>
  <si>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</si>
  <si>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</si>
  <si>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</si>
  <si>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</si>
  <si>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</si>
  <si>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</si>
  <si>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</si>
  <si>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</si>
  <si>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</si>
  <si>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</si>
  <si>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</si>
  <si>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</si>
  <si>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</si>
  <si>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</si>
  <si>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</si>
  <si>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</si>
  <si>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</si>
  <si>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</si>
  <si>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</si>
  <si>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</si>
  <si>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</si>
  <si>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</si>
  <si>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</si>
  <si>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</si>
  <si>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</si>
  <si>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</si>
  <si>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</si>
  <si>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</si>
  <si>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</si>
  <si>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</si>
  <si>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</si>
  <si>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</si>
  <si>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</si>
  <si>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</si>
  <si>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</si>
  <si>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</si>
  <si>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</si>
  <si>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</si>
  <si>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</si>
  <si>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</si>
  <si>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</si>
  <si>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</si>
  <si>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</si>
  <si>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</si>
  <si>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</si>
  <si>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</si>
  <si>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</si>
  <si>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</si>
  <si>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</si>
  <si>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</si>
  <si>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</si>
  <si>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</si>
  <si>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</si>
  <si>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</si>
  <si>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</si>
  <si>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</si>
  <si>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</si>
  <si>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</si>
  <si>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</si>
  <si>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</si>
  <si>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</si>
  <si>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</si>
  <si>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</si>
  <si>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</si>
  <si>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</si>
  <si>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</si>
  <si>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</si>
  <si>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</si>
  <si>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</si>
  <si>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</si>
  <si>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</si>
  <si>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</si>
  <si>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</si>
  <si>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</si>
  <si>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</si>
  <si>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</si>
  <si>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</si>
  <si>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</si>
  <si>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</si>
  <si>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</si>
  <si>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</si>
  <si>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</si>
  <si>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</si>
  <si>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</si>
  <si>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</si>
  <si>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</si>
  <si>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</si>
  <si>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</si>
  <si>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</si>
  <si>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</si>
  <si>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</si>
  <si>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</si>
  <si>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</si>
  <si>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</si>
  <si>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</si>
  <si>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</si>
  <si>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</si>
  <si>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</si>
  <si>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</si>
  <si>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</si>
  <si>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</si>
  <si>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</si>
  <si>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</si>
  <si>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</si>
  <si>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</si>
  <si>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</si>
  <si>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</si>
  <si>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</si>
  <si>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</si>
  <si>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</si>
  <si>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</si>
  <si>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</si>
  <si>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</si>
  <si>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</si>
  <si>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</si>
  <si>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</si>
  <si>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</si>
  <si>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</si>
  <si>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</si>
  <si>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</si>
  <si>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</si>
  <si>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</si>
  <si>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</si>
  <si>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</si>
  <si>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</si>
  <si>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</si>
  <si>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</si>
  <si>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</si>
  <si>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</si>
  <si>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</si>
  <si>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</si>
  <si>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</si>
  <si>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</si>
  <si>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</si>
  <si>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</si>
  <si>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</si>
  <si>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</si>
  <si>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</si>
  <si>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</si>
  <si>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</si>
  <si>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</si>
  <si>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</si>
  <si>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</si>
  <si>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</si>
  <si>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</si>
  <si>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</si>
  <si>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</si>
  <si>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</si>
  <si>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</si>
  <si>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</si>
  <si>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</si>
  <si>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</si>
  <si>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</si>
  <si>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</si>
  <si>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</si>
  <si>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</si>
  <si>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</si>
  <si>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</si>
  <si>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</si>
  <si>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</si>
  <si>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</si>
  <si>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</si>
  <si>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</si>
  <si>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</si>
  <si>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</si>
  <si>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</si>
  <si>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</si>
  <si>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</si>
  <si>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</si>
  <si>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</si>
  <si>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</si>
  <si>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</si>
  <si>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</si>
  <si>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</si>
  <si>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</si>
  <si>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</si>
  <si>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</si>
  <si>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</si>
  <si>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</si>
  <si>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</si>
  <si>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</si>
  <si>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</si>
  <si>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</si>
  <si>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</si>
  <si>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</si>
  <si>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</si>
  <si>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</si>
  <si>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</si>
  <si>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</si>
  <si>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</si>
  <si>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</si>
  <si>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</si>
  <si>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</si>
  <si>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</si>
  <si>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</si>
  <si>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</si>
  <si>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</si>
  <si>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</si>
  <si>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</si>
  <si>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</si>
  <si>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</si>
  <si>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</si>
  <si>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</si>
  <si>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</si>
  <si>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</si>
  <si>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</si>
  <si>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</si>
  <si>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</si>
  <si>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</si>
  <si>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</si>
  <si>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</si>
  <si>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</si>
  <si>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</si>
  <si>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</si>
  <si>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</si>
  <si>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</si>
  <si>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</si>
  <si>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</si>
  <si>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</si>
  <si>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</si>
  <si>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</si>
  <si>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</si>
  <si>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</si>
  <si>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</si>
  <si>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</si>
  <si>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</si>
  <si>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</si>
  <si>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</si>
  <si>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</si>
  <si>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</si>
  <si>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</si>
  <si>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</si>
  <si>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</si>
  <si>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</si>
  <si>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</si>
  <si>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</si>
  <si>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</si>
  <si>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</si>
  <si>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</si>
  <si>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</si>
  <si>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</si>
  <si>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</si>
  <si>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</si>
  <si>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</si>
  <si>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</si>
  <si>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</si>
  <si>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</si>
  <si>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</si>
  <si>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</si>
  <si>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</si>
  <si>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</si>
  <si>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</si>
  <si>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</si>
  <si>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</si>
  <si>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</si>
  <si>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</si>
  <si>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</si>
  <si>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</si>
  <si>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</si>
  <si>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</si>
  <si>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</si>
  <si>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</si>
  <si>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</si>
  <si>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</si>
  <si>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</si>
  <si>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</si>
  <si>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</si>
  <si>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</si>
  <si>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</si>
  <si>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</si>
  <si>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</si>
  <si>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</si>
  <si>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</si>
  <si>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</si>
  <si>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</si>
  <si>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</si>
  <si>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</si>
  <si>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</si>
  <si>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</si>
  <si>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</si>
  <si>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</si>
  <si>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</si>
  <si>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</si>
  <si>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</si>
  <si>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</si>
  <si>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</si>
  <si>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</si>
  <si>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</si>
  <si>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</si>
  <si>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</si>
  <si>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</si>
  <si>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</si>
  <si>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</si>
  <si>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</si>
  <si>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</si>
  <si>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</si>
  <si>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</si>
  <si>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</si>
  <si>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</si>
  <si>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</si>
  <si>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</si>
  <si>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</si>
  <si>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</si>
  <si>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</si>
  <si>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</si>
  <si>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</si>
  <si>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</si>
  <si>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</si>
  <si>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</si>
  <si>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</si>
  <si>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</si>
  <si>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</si>
  <si>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</si>
  <si>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</si>
  <si>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</si>
  <si>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</si>
  <si>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</si>
  <si>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</si>
  <si>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</si>
  <si>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</si>
  <si>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</si>
  <si>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</si>
  <si>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</si>
  <si>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</si>
  <si>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</si>
  <si>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</si>
  <si>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</si>
  <si>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</si>
  <si>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</si>
  <si>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</si>
  <si>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</si>
  <si>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</si>
  <si>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</si>
  <si>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</si>
  <si>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</si>
  <si>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</si>
  <si>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</si>
  <si>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</si>
  <si>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</si>
  <si>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</si>
  <si>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</si>
  <si>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</si>
  <si>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</si>
  <si>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</si>
  <si>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</si>
  <si>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</si>
  <si>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</si>
  <si>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</si>
  <si>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</si>
  <si>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</si>
  <si>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</si>
  <si>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</si>
  <si>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</si>
  <si>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</si>
  <si>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</si>
  <si>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</si>
  <si>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</si>
  <si>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</si>
  <si>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</si>
  <si>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</si>
  <si>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</si>
  <si>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</si>
  <si>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</si>
  <si>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</si>
  <si>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</si>
  <si>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</si>
  <si>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</si>
  <si>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</si>
  <si>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</si>
  <si>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</si>
  <si>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</si>
  <si>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</si>
  <si>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</si>
  <si>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</si>
  <si>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</si>
  <si>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</si>
  <si>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</si>
  <si>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</si>
  <si>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</si>
  <si>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</si>
  <si>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</si>
  <si>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</si>
  <si>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</si>
  <si>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</si>
  <si>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</si>
  <si>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</si>
  <si>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</si>
  <si>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</si>
  <si>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</si>
  <si>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</si>
  <si>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</si>
  <si>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</si>
  <si>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</si>
  <si>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</si>
  <si>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</si>
  <si>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</si>
  <si>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</si>
  <si>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</si>
  <si>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</si>
  <si>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</si>
  <si>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</si>
  <si>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</si>
  <si>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</si>
  <si>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</si>
  <si>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</si>
  <si>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</si>
  <si>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</si>
  <si>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</si>
  <si>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</si>
  <si>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</si>
  <si>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</si>
  <si>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</si>
  <si>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</si>
  <si>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</si>
  <si>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</si>
  <si>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</si>
  <si>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</si>
  <si>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</si>
  <si>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</si>
  <si>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</si>
  <si>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</si>
  <si>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</si>
  <si>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</si>
  <si>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</si>
  <si>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</si>
  <si>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</si>
  <si>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</si>
  <si>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</si>
  <si>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</si>
  <si>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</si>
  <si>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</si>
  <si>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</si>
  <si>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</si>
  <si>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</si>
  <si>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</si>
  <si>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</si>
  <si>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</si>
  <si>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</si>
  <si>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</si>
  <si>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</si>
  <si>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</si>
  <si>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</si>
  <si>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</si>
  <si>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</si>
  <si>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</si>
  <si>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</si>
  <si>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</si>
  <si>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</si>
  <si>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</si>
  <si>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</si>
  <si>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</si>
  <si>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</si>
  <si>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</si>
  <si>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</si>
  <si>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</si>
  <si>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</si>
  <si>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</si>
  <si>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</si>
  <si>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</si>
  <si>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</si>
  <si>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</si>
  <si>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</si>
  <si>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</si>
  <si>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</si>
  <si>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</si>
  <si>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</si>
  <si>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</si>
  <si>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</si>
  <si>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</si>
  <si>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</si>
  <si>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</si>
  <si>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</si>
  <si>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</si>
  <si>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</si>
  <si>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</si>
  <si>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</si>
  <si>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</si>
  <si>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</si>
  <si>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</si>
  <si>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</si>
  <si>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</si>
  <si>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</si>
  <si>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</si>
  <si>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</si>
  <si>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</si>
  <si>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</si>
  <si>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</si>
  <si>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</si>
  <si>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</si>
  <si>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</si>
  <si>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</si>
  <si>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</si>
  <si>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</si>
  <si>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</si>
  <si>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</si>
  <si>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</si>
  <si>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</si>
  <si>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</si>
  <si>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</si>
  <si>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</si>
  <si>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</si>
  <si>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</si>
  <si>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</si>
  <si>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</si>
  <si>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</si>
  <si>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</si>
  <si>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</si>
  <si>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</si>
  <si>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</si>
  <si>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</si>
  <si>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</si>
  <si>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</si>
  <si>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</si>
  <si>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</si>
  <si>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</si>
  <si>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</si>
  <si>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</si>
  <si>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</si>
  <si>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</si>
  <si>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</si>
  <si>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</si>
  <si>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</si>
  <si>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</si>
  <si>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</si>
  <si>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</si>
  <si>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</si>
  <si>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</si>
  <si>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</si>
  <si>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</si>
  <si>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</si>
  <si>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</si>
  <si>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</si>
  <si>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</si>
  <si>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</si>
  <si>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</si>
  <si>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</si>
  <si>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</si>
  <si>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</si>
  <si>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</si>
  <si>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</si>
  <si>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</si>
  <si>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</si>
  <si>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</si>
  <si>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</si>
  <si>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</si>
  <si>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</si>
  <si>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</si>
  <si>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</si>
  <si>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</si>
  <si>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</si>
  <si>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</si>
  <si>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</si>
  <si>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</si>
  <si>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</si>
  <si>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</si>
  <si>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</si>
  <si>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</si>
  <si>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</si>
  <si>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</si>
  <si>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</si>
  <si>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</si>
  <si>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</si>
  <si>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</si>
  <si>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</si>
  <si>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</si>
  <si>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</si>
  <si>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</si>
  <si>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</si>
  <si>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</si>
  <si>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</si>
  <si>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</si>
  <si>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</si>
  <si>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</si>
  <si>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</si>
  <si>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</si>
  <si>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</si>
  <si>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</si>
  <si>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</si>
  <si>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</si>
  <si>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</si>
  <si>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</si>
  <si>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</si>
  <si>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</si>
  <si>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</si>
  <si>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</si>
  <si>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</si>
  <si>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</si>
  <si>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</si>
  <si>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</si>
  <si>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</si>
  <si>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</si>
  <si>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</si>
  <si>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</si>
  <si>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</si>
  <si>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</si>
  <si>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</si>
  <si>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</si>
  <si>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</si>
  <si>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</si>
  <si>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</si>
  <si>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</si>
  <si>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</si>
  <si>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</si>
  <si>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</si>
  <si>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</si>
  <si>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</si>
  <si>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</si>
  <si>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</si>
  <si>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</si>
  <si>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</si>
  <si>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</si>
  <si>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</si>
  <si>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</si>
  <si>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</si>
  <si>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</si>
  <si>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</si>
  <si>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</si>
  <si>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</si>
  <si>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</si>
  <si>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</si>
  <si>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</si>
  <si>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</si>
  <si>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</si>
  <si>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</si>
  <si>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</si>
  <si>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</si>
  <si>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</si>
  <si>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</si>
  <si>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</si>
  <si>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</si>
  <si>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</si>
  <si>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</si>
  <si>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</si>
  <si>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</si>
  <si>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</si>
  <si>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</si>
  <si>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</si>
  <si>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</si>
  <si>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</si>
  <si>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</si>
  <si>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</si>
  <si>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</si>
  <si>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</si>
  <si>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</si>
  <si>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</si>
  <si>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</si>
  <si>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</si>
  <si>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</si>
  <si>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</si>
  <si>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</si>
  <si>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</si>
  <si>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</si>
  <si>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</si>
  <si>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</si>
  <si>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</si>
  <si>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</si>
  <si>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</si>
  <si>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</si>
  <si>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</si>
  <si>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</si>
  <si>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</si>
  <si>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</si>
  <si>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</si>
  <si>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</si>
  <si>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</si>
  <si>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</si>
  <si>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</si>
  <si>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</si>
  <si>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</si>
  <si>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</si>
  <si>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</si>
  <si>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</si>
  <si>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</si>
  <si>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</si>
  <si>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</si>
  <si>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</si>
  <si>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</si>
  <si>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</si>
  <si>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</si>
  <si>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</si>
  <si>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</si>
  <si>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</si>
  <si>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</si>
  <si>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</si>
  <si>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</si>
  <si>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</si>
  <si>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</si>
  <si>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</si>
  <si>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</si>
  <si>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</si>
  <si>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</si>
  <si>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</si>
  <si>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</si>
  <si>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</si>
  <si>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</si>
  <si>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</si>
  <si>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</si>
  <si>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</si>
  <si>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</si>
  <si>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</si>
  <si>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</si>
  <si>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</si>
  <si>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</si>
  <si>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</si>
  <si>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</si>
  <si>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</si>
  <si>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</si>
  <si>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</si>
  <si>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</si>
  <si>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</si>
  <si>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</si>
  <si>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</si>
  <si>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</si>
  <si>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</si>
  <si>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</si>
  <si>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</si>
  <si>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</si>
  <si>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</si>
  <si>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</si>
  <si>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</si>
  <si>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</si>
  <si>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</si>
  <si>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</si>
  <si>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</si>
  <si>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</si>
  <si>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</si>
  <si>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</si>
  <si>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</si>
  <si>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</si>
  <si>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</si>
  <si>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</si>
  <si>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</si>
  <si>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</si>
  <si>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</si>
  <si>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</si>
  <si>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</si>
  <si>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</si>
  <si>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</si>
  <si>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</si>
  <si>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</si>
  <si>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</si>
  <si>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</si>
  <si>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</si>
  <si>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</si>
  <si>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</si>
  <si>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</si>
  <si>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</si>
  <si>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</si>
  <si>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</si>
  <si>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</si>
  <si>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</si>
  <si>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</si>
  <si>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</si>
  <si>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</si>
  <si>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</si>
  <si>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</si>
  <si>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</si>
  <si>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</si>
  <si>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</si>
  <si>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</si>
  <si>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</si>
  <si>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</si>
  <si>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</si>
  <si>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</si>
  <si>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</si>
  <si>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</si>
  <si>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</si>
  <si>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</si>
  <si>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</si>
  <si>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</si>
  <si>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</si>
  <si>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</si>
  <si>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</si>
  <si>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</si>
  <si>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</si>
  <si>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</si>
  <si>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</si>
  <si>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</si>
  <si>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</si>
  <si>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</si>
  <si>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</si>
  <si>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</si>
  <si>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</si>
  <si>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</si>
  <si>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</si>
  <si>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</si>
  <si>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</si>
  <si>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</si>
  <si>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</si>
  <si>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</si>
  <si>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</si>
  <si>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</si>
  <si>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</si>
  <si>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</si>
  <si>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</si>
  <si>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</si>
  <si>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</si>
  <si>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</si>
  <si>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</si>
  <si>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</si>
  <si>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</si>
  <si>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</si>
  <si>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</si>
  <si>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</si>
  <si>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</si>
  <si>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</si>
  <si>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</si>
  <si>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</si>
  <si>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</si>
  <si>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</si>
  <si>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</si>
  <si>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</si>
  <si>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</si>
  <si>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</si>
  <si>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</si>
  <si>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</si>
  <si>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</si>
  <si>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</si>
  <si>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</si>
  <si>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</si>
  <si>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</si>
  <si>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</si>
  <si>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</si>
  <si>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</si>
  <si>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</si>
  <si>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</si>
  <si>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</si>
  <si>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</si>
  <si>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</si>
  <si>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</si>
  <si>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</si>
  <si>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</si>
  <si>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</si>
  <si>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</si>
  <si>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</si>
  <si>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</si>
  <si>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</si>
  <si>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</si>
  <si>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</si>
  <si>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</si>
  <si>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</si>
  <si>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</si>
  <si>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</si>
  <si>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</si>
  <si>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</si>
  <si>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</si>
  <si>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</si>
  <si>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</si>
  <si>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</si>
  <si>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</si>
  <si>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</si>
  <si>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</si>
  <si>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</si>
  <si>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</si>
  <si>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</si>
  <si>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</si>
  <si>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</si>
  <si>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</si>
  <si>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</si>
  <si>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</si>
  <si>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</si>
  <si>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</si>
  <si>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</si>
  <si>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</si>
  <si>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</si>
  <si>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</si>
  <si>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</si>
  <si>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</si>
  <si>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</si>
  <si>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</si>
  <si>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</si>
  <si>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</si>
  <si>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</si>
  <si>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</si>
  <si>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</si>
  <si>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</si>
  <si>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</si>
  <si>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</si>
  <si>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</si>
  <si>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</si>
  <si>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</si>
  <si>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</si>
  <si>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</si>
  <si>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</si>
  <si>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</si>
  <si>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</si>
  <si>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</si>
  <si>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</si>
  <si>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</si>
  <si>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</si>
  <si>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</si>
  <si>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</si>
  <si>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</si>
  <si>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</si>
  <si>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</si>
  <si>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</si>
  <si>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</si>
  <si>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</si>
  <si>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</si>
  <si>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</si>
  <si>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</si>
  <si>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</si>
  <si>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</si>
  <si>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</si>
  <si>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</si>
  <si>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</si>
  <si>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</si>
  <si>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</si>
  <si>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</si>
  <si>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</si>
  <si>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</si>
  <si>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</si>
  <si>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</si>
  <si>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</si>
  <si>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</si>
  <si>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</si>
  <si>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</si>
  <si>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</si>
  <si>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</si>
  <si>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</si>
  <si>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</si>
  <si>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</si>
  <si>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</si>
  <si>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</si>
  <si>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</si>
  <si>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</si>
  <si>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</si>
  <si>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</si>
  <si>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</si>
  <si>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</si>
  <si>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</si>
  <si>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</si>
  <si>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</si>
  <si>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</si>
  <si>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</si>
  <si>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</si>
  <si>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</si>
  <si>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</si>
  <si>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</si>
  <si>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</si>
  <si>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</si>
  <si>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</si>
  <si>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</si>
  <si>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</si>
  <si>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</si>
  <si>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</si>
  <si>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</si>
  <si>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</si>
  <si>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</si>
  <si>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</si>
  <si>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</si>
  <si>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</si>
  <si>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</si>
  <si>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</si>
  <si>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</si>
  <si>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</si>
  <si>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</si>
  <si>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</si>
  <si>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</si>
  <si>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</si>
  <si>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</si>
  <si>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</si>
  <si>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</si>
  <si>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</si>
  <si>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</si>
  <si>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</si>
  <si>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</si>
  <si>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</si>
  <si>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</si>
  <si>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</si>
  <si>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</si>
  <si>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</si>
  <si>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</si>
  <si>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</si>
  <si>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</si>
  <si>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</si>
  <si>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</si>
  <si>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</si>
  <si>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</si>
  <si>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</si>
  <si>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</si>
  <si>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</si>
  <si>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</si>
  <si>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</si>
  <si>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</si>
  <si>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</si>
  <si>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</si>
  <si>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</si>
  <si>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</si>
  <si>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</si>
  <si>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</si>
  <si>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</si>
  <si>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</si>
  <si>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</si>
  <si>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</si>
  <si>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</si>
  <si>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</si>
  <si>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</si>
  <si>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</si>
  <si>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</si>
  <si>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</si>
  <si>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</si>
  <si>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</si>
  <si>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</si>
  <si>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</si>
  <si>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</si>
  <si>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</si>
  <si>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</si>
  <si>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</si>
  <si>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</si>
  <si>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</si>
  <si>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</si>
  <si>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</si>
  <si>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</si>
  <si>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</si>
  <si>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</si>
  <si>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</si>
  <si>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</si>
  <si>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</si>
  <si>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</si>
  <si>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</si>
  <si>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</si>
  <si>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</si>
  <si>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</si>
  <si>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</si>
  <si>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</si>
  <si>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</si>
  <si>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</si>
  <si>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</si>
  <si>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</si>
  <si>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</si>
  <si>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</si>
  <si>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</si>
  <si>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</si>
  <si>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</si>
  <si>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</si>
  <si>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</si>
  <si>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</si>
  <si>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</si>
  <si>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</si>
  <si>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</si>
  <si>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</si>
  <si>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</si>
  <si>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</si>
  <si>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</si>
  <si>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</si>
  <si>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</si>
  <si>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</si>
  <si>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</si>
  <si>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</si>
  <si>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</si>
  <si>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</si>
  <si>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</si>
  <si>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</si>
  <si>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</si>
  <si>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</si>
  <si>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</si>
  <si>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</si>
  <si>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</si>
  <si>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</si>
  <si>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</si>
  <si>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</si>
  <si>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</si>
  <si>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</si>
  <si>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</si>
  <si>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</si>
  <si>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</si>
  <si>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</si>
  <si>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</si>
  <si>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</si>
  <si>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</si>
  <si>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</si>
  <si>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</si>
  <si>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</si>
  <si>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</si>
  <si>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</si>
  <si>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</si>
  <si>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</si>
  <si>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</si>
  <si>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</si>
  <si>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</si>
  <si>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</si>
  <si>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</si>
  <si>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</si>
  <si>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</si>
  <si>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</si>
  <si>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</si>
  <si>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</si>
  <si>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</si>
  <si>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</si>
  <si>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</si>
  <si>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</si>
  <si>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</si>
  <si>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</si>
  <si>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</si>
  <si>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</si>
  <si>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</si>
  <si>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</si>
  <si>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</si>
  <si>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</si>
  <si>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</si>
  <si>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</si>
  <si>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</si>
  <si>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</si>
  <si>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</si>
  <si>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</si>
  <si>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</si>
  <si>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</si>
  <si>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</si>
  <si>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</si>
  <si>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</si>
  <si>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</si>
  <si>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</si>
  <si>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</si>
  <si>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</si>
  <si>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</si>
  <si>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</si>
  <si>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</si>
  <si>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</si>
  <si>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</si>
  <si>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</si>
  <si>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</si>
  <si>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</si>
  <si>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</si>
  <si>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</si>
  <si>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</si>
  <si>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</si>
  <si>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</si>
  <si>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</si>
  <si>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</si>
  <si>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</si>
  <si>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</si>
  <si>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</si>
  <si>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</si>
  <si>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</si>
  <si>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</si>
  <si>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</si>
  <si>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</si>
  <si>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</si>
  <si>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</si>
  <si>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</si>
  <si>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</si>
  <si>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</si>
  <si>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</si>
  <si>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</si>
  <si>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</si>
  <si>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</si>
  <si>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</si>
  <si>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</si>
  <si>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</si>
  <si>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</si>
  <si>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</si>
  <si>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</si>
  <si>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</si>
  <si>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</si>
  <si>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</si>
  <si>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</si>
  <si>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</si>
  <si>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</si>
  <si>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</si>
  <si>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</si>
  <si>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</si>
  <si>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</si>
  <si>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</si>
  <si>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</si>
  <si>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</si>
  <si>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</si>
  <si>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</si>
  <si>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</si>
  <si>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</si>
  <si>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</si>
  <si>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</si>
  <si>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</si>
  <si>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</si>
  <si>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</si>
  <si>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</si>
  <si>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</si>
  <si>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</si>
  <si>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</si>
  <si>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</si>
  <si>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</si>
  <si>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</si>
  <si>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</si>
  <si>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</si>
  <si>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</si>
  <si>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</si>
  <si>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</si>
  <si>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</si>
  <si>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</si>
  <si>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</si>
  <si>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</si>
  <si>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</si>
  <si>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</si>
  <si>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</si>
  <si>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</si>
  <si>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</si>
  <si>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</si>
  <si>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</si>
  <si>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</si>
  <si>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</si>
  <si>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</si>
  <si>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</si>
  <si>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</si>
  <si>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</si>
  <si>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</si>
  <si>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</si>
  <si>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</si>
  <si>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</si>
  <si>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</si>
  <si>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</si>
  <si>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</si>
  <si>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</si>
  <si>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</si>
  <si>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</si>
  <si>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</si>
  <si>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</si>
  <si>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</si>
  <si>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</si>
  <si>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</si>
  <si>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</si>
  <si>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</si>
  <si>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</si>
  <si>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</si>
  <si>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</si>
  <si>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</si>
  <si>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</si>
  <si>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</si>
  <si>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</si>
  <si>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</si>
  <si>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</si>
  <si>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</si>
  <si>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</si>
  <si>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</si>
  <si>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</si>
  <si>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</si>
  <si>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</si>
  <si>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</si>
  <si>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</si>
  <si>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</si>
  <si>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</si>
  <si>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</si>
  <si>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</si>
  <si>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</si>
  <si>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</si>
  <si>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</si>
  <si>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</si>
  <si>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</si>
  <si>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</si>
  <si>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</si>
  <si>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</si>
  <si>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</si>
  <si>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</si>
  <si>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</si>
  <si>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</si>
  <si>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</si>
  <si>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</si>
  <si>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</si>
  <si>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</si>
  <si>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</si>
  <si>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</si>
  <si>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</si>
  <si>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</si>
  <si>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</si>
  <si>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</si>
  <si>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</si>
  <si>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</si>
  <si>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</si>
  <si>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</si>
  <si>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</si>
  <si>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</si>
  <si>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</si>
  <si>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</si>
  <si>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</si>
  <si>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</si>
  <si>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</si>
  <si>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</si>
  <si>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</si>
  <si>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</si>
  <si>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</si>
  <si>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</si>
  <si>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</si>
  <si>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</si>
  <si>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</si>
  <si>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</si>
  <si>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</si>
  <si>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</si>
  <si>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</si>
  <si>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</si>
  <si>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</si>
  <si>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</si>
  <si>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</si>
  <si>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</si>
  <si>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</si>
  <si>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</si>
  <si>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</si>
  <si>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</si>
  <si>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</si>
  <si>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</si>
  <si>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</si>
  <si>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</si>
  <si>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</si>
  <si>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</si>
  <si>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</si>
  <si>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</si>
  <si>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</si>
  <si>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</si>
  <si>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</si>
  <si>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</si>
  <si>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</si>
  <si>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</si>
  <si>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</si>
  <si>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</si>
  <si>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</si>
  <si>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</si>
  <si>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</si>
  <si>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</si>
  <si>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</si>
  <si>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</si>
  <si>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</si>
  <si>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</si>
  <si>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</si>
  <si>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</si>
  <si>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</si>
  <si>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</si>
  <si>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</si>
  <si>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</si>
  <si>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</si>
  <si>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</si>
  <si>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</si>
  <si>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</si>
  <si>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</si>
  <si>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</si>
  <si>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</si>
  <si>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</si>
  <si>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</si>
  <si>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</si>
  <si>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</si>
  <si>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</si>
  <si>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</si>
  <si>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</si>
  <si>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</si>
  <si>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</si>
  <si>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</si>
  <si>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</si>
  <si>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</si>
  <si>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</si>
  <si>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</si>
  <si>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</si>
  <si>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</si>
  <si>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</si>
  <si>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</si>
  <si>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</si>
  <si>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</si>
  <si>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</si>
  <si>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</si>
  <si>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</si>
  <si>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</si>
  <si>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</si>
  <si>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</si>
  <si>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</si>
  <si>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</si>
  <si>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</si>
  <si>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</si>
  <si>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</si>
  <si>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</si>
  <si>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</si>
  <si>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</si>
  <si>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</si>
  <si>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</si>
  <si>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</si>
  <si>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</si>
  <si>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</si>
  <si>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</si>
  <si>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</si>
  <si>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</si>
  <si>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</si>
  <si>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</si>
  <si>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</si>
  <si>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</si>
  <si>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</si>
  <si>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</si>
  <si>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</si>
  <si>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</si>
  <si>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</si>
  <si>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</si>
  <si>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</si>
  <si>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</si>
  <si>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</si>
  <si>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</si>
  <si>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</si>
  <si>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</si>
  <si>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</si>
  <si>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</si>
  <si>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</si>
  <si>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</si>
  <si>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</si>
  <si>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</si>
  <si>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</si>
  <si>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</si>
  <si>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</si>
  <si>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</si>
  <si>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</si>
  <si>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</si>
  <si>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</si>
  <si>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</si>
  <si>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</si>
  <si>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</si>
  <si>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</si>
  <si>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</si>
  <si>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</si>
  <si>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</si>
  <si>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</si>
  <si>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</si>
  <si>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</si>
  <si>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</si>
  <si>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</si>
  <si>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</si>
  <si>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</si>
  <si>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</si>
  <si>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</si>
  <si>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</si>
  <si>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</si>
  <si>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</si>
  <si>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</si>
  <si>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</si>
  <si>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</si>
  <si>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</si>
  <si>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</si>
  <si>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</si>
  <si>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</si>
  <si>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</si>
  <si>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</si>
  <si>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</si>
  <si>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</si>
  <si>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</si>
  <si>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</si>
  <si>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</si>
  <si>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</si>
  <si>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</si>
  <si>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</si>
  <si>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</si>
  <si>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</si>
  <si>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</si>
  <si>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</si>
  <si>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</si>
  <si>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</si>
  <si>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</si>
  <si>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</si>
  <si>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</si>
  <si>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</si>
  <si>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</si>
  <si>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</si>
  <si>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</si>
  <si>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</si>
  <si>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</si>
  <si>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</si>
  <si>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</si>
  <si>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</si>
  <si>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</si>
  <si>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</si>
  <si>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</si>
  <si>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</si>
  <si>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</si>
  <si>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</si>
  <si>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</si>
  <si>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</si>
  <si>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</si>
  <si>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</si>
  <si>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</si>
  <si>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</si>
  <si>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</si>
  <si>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</si>
  <si>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</si>
  <si>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</si>
  <si>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</si>
  <si>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</si>
  <si>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</si>
  <si>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</si>
  <si>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</si>
  <si>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</si>
  <si>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</si>
  <si>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</si>
  <si>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</si>
  <si>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</si>
  <si>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</si>
  <si>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</si>
  <si>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</si>
  <si>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</si>
  <si>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</si>
  <si>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</si>
  <si>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</si>
  <si>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</si>
  <si>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</si>
  <si>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</si>
  <si>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</si>
  <si>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</si>
  <si>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</si>
  <si>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</si>
  <si>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</si>
  <si>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</si>
  <si>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</si>
  <si>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</si>
  <si>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</si>
  <si>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</si>
  <si>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</si>
  <si>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</si>
  <si>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</si>
  <si>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</si>
  <si>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</si>
  <si>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</si>
  <si>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</si>
  <si>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</si>
  <si>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</si>
  <si>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</si>
  <si>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</si>
  <si>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</si>
  <si>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</si>
  <si>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</si>
  <si>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</si>
  <si>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</si>
  <si>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</si>
  <si>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</si>
  <si>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</si>
  <si>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</si>
  <si>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</si>
  <si>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</si>
  <si>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</si>
  <si>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</si>
  <si>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</si>
  <si>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</si>
  <si>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</si>
  <si>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</si>
  <si>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</si>
  <si>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</si>
  <si>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</si>
  <si>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</si>
  <si>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</si>
  <si>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</si>
  <si>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</si>
  <si>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</si>
  <si>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</si>
  <si>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</si>
  <si>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</si>
  <si>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</si>
  <si>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</si>
  <si>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</si>
  <si>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</si>
  <si>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</si>
  <si>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</si>
  <si>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</si>
  <si>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</si>
  <si>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</si>
  <si>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</si>
  <si>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</si>
  <si>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</si>
  <si>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</si>
  <si>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</si>
  <si>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</si>
  <si>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</si>
  <si>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</si>
  <si>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</si>
  <si>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</si>
  <si>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</si>
  <si>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</si>
  <si>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</si>
  <si>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</si>
  <si>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</si>
  <si>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</si>
  <si>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</si>
  <si>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</si>
  <si>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</si>
  <si>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</si>
  <si>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</si>
  <si>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</si>
  <si>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</si>
  <si>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</si>
  <si>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</si>
  <si>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</si>
  <si>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</si>
  <si>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</si>
  <si>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</si>
  <si>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</si>
  <si>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</si>
  <si>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</si>
  <si>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</si>
  <si>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</si>
  <si>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</si>
  <si>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</si>
  <si>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</si>
  <si>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</si>
  <si>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</si>
  <si>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</si>
  <si>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</si>
  <si>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</si>
  <si>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</si>
  <si>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</si>
  <si>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</si>
  <si>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</si>
  <si>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</si>
  <si>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</si>
  <si>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</si>
  <si>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</si>
  <si>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</si>
  <si>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</si>
  <si>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</si>
  <si>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</si>
  <si>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</si>
  <si>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</si>
  <si>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</si>
  <si>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</si>
  <si>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</si>
  <si>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</si>
  <si>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</si>
  <si>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</si>
  <si>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</si>
  <si>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</si>
  <si>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</si>
  <si>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</si>
  <si>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</si>
  <si>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</si>
  <si>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</si>
  <si>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</si>
  <si>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</si>
  <si>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</si>
  <si>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</si>
  <si>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</si>
  <si>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</si>
  <si>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</si>
  <si>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</si>
  <si>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</si>
  <si>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</si>
  <si>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</si>
  <si>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</si>
  <si>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</si>
  <si>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</si>
  <si>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</si>
  <si>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</si>
  <si>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</si>
  <si>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</si>
  <si>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</si>
  <si>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</si>
  <si>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</si>
  <si>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</si>
  <si>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</si>
  <si>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</si>
  <si>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</si>
  <si>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</si>
  <si>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</si>
  <si>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</si>
  <si>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</si>
  <si>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</si>
  <si>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</si>
  <si>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</si>
  <si>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</si>
  <si>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</si>
  <si>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</si>
  <si>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</si>
  <si>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</si>
  <si>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</si>
  <si>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</si>
  <si>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</si>
  <si>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</si>
  <si>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</si>
  <si>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</si>
  <si>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</si>
  <si>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</si>
  <si>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</si>
  <si>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</si>
  <si>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</si>
  <si>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</si>
  <si>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</si>
  <si>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</si>
  <si>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</si>
  <si>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</si>
  <si>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</si>
  <si>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</si>
  <si>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</si>
  <si>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</si>
  <si>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</si>
  <si>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</si>
  <si>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</si>
  <si>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</si>
  <si>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</si>
  <si>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</si>
  <si>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</si>
  <si>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</si>
  <si>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</si>
  <si>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</si>
  <si>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</si>
  <si>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</si>
  <si>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</si>
  <si>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</si>
  <si>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</si>
  <si>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</si>
  <si>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</si>
  <si>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</si>
  <si>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</si>
  <si>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</si>
  <si>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</si>
  <si>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</si>
  <si>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</si>
  <si>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</si>
  <si>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</si>
  <si>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</si>
  <si>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</si>
  <si>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</si>
  <si>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</si>
  <si>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</si>
  <si>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</si>
  <si>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</si>
  <si>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</si>
  <si>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</si>
  <si>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</si>
  <si>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</si>
  <si>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</si>
  <si>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</si>
  <si>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</si>
  <si>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</si>
  <si>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</si>
  <si>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</si>
  <si>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</si>
  <si>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</si>
  <si>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</si>
  <si>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</si>
  <si>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</si>
  <si>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</si>
  <si>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</si>
  <si>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</si>
  <si>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</si>
  <si>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</si>
  <si>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</si>
  <si>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</si>
  <si>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</si>
  <si>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</si>
  <si>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</si>
  <si>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</si>
  <si>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</si>
  <si>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</si>
  <si>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</si>
  <si>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</si>
  <si>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</si>
  <si>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</si>
  <si>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</si>
  <si>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</si>
  <si>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</si>
  <si>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</si>
  <si>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</si>
  <si>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</si>
  <si>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</si>
  <si>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</si>
  <si>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</si>
  <si>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</si>
  <si>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</si>
  <si>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</si>
  <si>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</si>
  <si>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</si>
  <si>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</si>
  <si>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</si>
  <si>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</si>
  <si>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</si>
  <si>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</si>
  <si>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</si>
  <si>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</si>
  <si>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</si>
  <si>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</si>
  <si>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</si>
  <si>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</si>
  <si>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</si>
  <si>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</si>
  <si>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</si>
  <si>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</si>
  <si>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</si>
  <si>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</si>
  <si>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</si>
  <si>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</si>
  <si>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</si>
  <si>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</si>
  <si>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</si>
  <si>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</si>
  <si>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</si>
  <si>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</si>
  <si>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</si>
  <si>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</si>
  <si>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</si>
  <si>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</si>
  <si>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</si>
  <si>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</si>
  <si>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</si>
  <si>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</si>
  <si>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</si>
  <si>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</si>
  <si>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</si>
  <si>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</si>
  <si>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</si>
  <si>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</si>
  <si>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</si>
  <si>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</si>
  <si>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</si>
  <si>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</si>
  <si>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</si>
  <si>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</si>
  <si>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</si>
  <si>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</si>
  <si>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</si>
  <si>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</si>
  <si>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</si>
  <si>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</si>
  <si>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</si>
  <si>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</si>
  <si>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</si>
  <si>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</si>
  <si>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</si>
  <si>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</si>
  <si>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</si>
  <si>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</si>
  <si>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</si>
  <si>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</si>
  <si>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</si>
  <si>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</si>
  <si>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</si>
  <si>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</si>
  <si>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</si>
  <si>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</si>
  <si>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</si>
  <si>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</si>
  <si>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</si>
  <si>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</si>
  <si>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</si>
  <si>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</si>
  <si>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</si>
  <si>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</si>
  <si>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</si>
  <si>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</si>
  <si>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</si>
  <si>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</si>
  <si>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</si>
  <si>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</si>
  <si>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</si>
  <si>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</si>
  <si>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</si>
  <si>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</si>
  <si>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</si>
  <si>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</si>
  <si>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</si>
  <si>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</si>
  <si>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</si>
  <si>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</si>
  <si>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</si>
  <si>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</si>
  <si>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</si>
  <si>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</si>
  <si>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</si>
  <si>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</si>
  <si>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</si>
  <si>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</si>
  <si>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</si>
  <si>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</si>
  <si>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</si>
  <si>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</si>
  <si>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</si>
  <si>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</si>
  <si>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</si>
  <si>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</si>
  <si>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</si>
  <si>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</si>
  <si>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</si>
  <si>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</si>
  <si>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</si>
  <si>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</si>
  <si>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</si>
  <si>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</si>
  <si>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</si>
  <si>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</si>
  <si>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</si>
  <si>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</si>
  <si>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</si>
  <si>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</si>
  <si>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</si>
  <si>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</si>
  <si>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</si>
  <si>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</si>
  <si>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</si>
  <si>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</si>
  <si>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</si>
  <si>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</si>
  <si>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</si>
  <si>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</si>
  <si>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</si>
  <si>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</si>
  <si>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</si>
  <si>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</si>
  <si>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</si>
  <si>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</si>
  <si>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</si>
  <si>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</si>
  <si>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</si>
  <si>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</si>
  <si>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</si>
  <si>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</si>
  <si>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</si>
  <si>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</si>
  <si>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</si>
  <si>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</si>
  <si>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</si>
  <si>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</si>
  <si>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</si>
  <si>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</si>
  <si>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</si>
  <si>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</si>
  <si>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</si>
  <si>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</si>
  <si>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</si>
  <si>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</si>
  <si>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</si>
  <si>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</si>
  <si>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</si>
  <si>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</si>
  <si>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</si>
  <si>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</si>
  <si>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</si>
  <si>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</si>
  <si>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</si>
  <si>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</si>
  <si>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</si>
  <si>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</si>
  <si>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</si>
  <si>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</si>
  <si>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</si>
  <si>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</si>
  <si>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</si>
  <si>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</si>
  <si>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</si>
  <si>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</si>
  <si>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</si>
  <si>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</si>
  <si>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</si>
  <si>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</si>
  <si>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</si>
  <si>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</si>
  <si>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</si>
  <si>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</si>
  <si>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</si>
  <si>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</si>
  <si>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</si>
  <si>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</si>
  <si>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</si>
  <si>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</si>
  <si>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</si>
  <si>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</si>
  <si>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</si>
  <si>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</si>
  <si>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</si>
  <si>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</si>
  <si>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</si>
  <si>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</si>
  <si>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</si>
  <si>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</si>
  <si>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</si>
  <si>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</si>
  <si>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</si>
  <si>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</si>
  <si>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</si>
  <si>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</si>
  <si>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</si>
  <si>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</si>
  <si>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</si>
  <si>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</si>
  <si>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</si>
  <si>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</si>
  <si>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</si>
  <si>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</si>
  <si>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</si>
  <si>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</si>
  <si>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</si>
  <si>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</si>
  <si>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</si>
  <si>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</si>
  <si>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</si>
  <si>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</si>
  <si>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</si>
  <si>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</si>
  <si>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</si>
  <si>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</si>
  <si>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</si>
  <si>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</si>
  <si>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</si>
  <si>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</si>
  <si>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</si>
  <si>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</si>
  <si>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</si>
  <si>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</si>
  <si>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</si>
  <si>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</si>
  <si>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</si>
  <si>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</si>
  <si>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</si>
  <si>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</si>
  <si>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</si>
  <si>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</si>
  <si>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</si>
  <si>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</si>
  <si>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</si>
  <si>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</si>
  <si>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</si>
  <si>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</si>
  <si>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</si>
  <si>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</si>
  <si>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</si>
  <si>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</si>
  <si>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</si>
  <si>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</si>
  <si>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</si>
  <si>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</si>
  <si>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</si>
  <si>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</si>
  <si>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</si>
  <si>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</si>
  <si>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</si>
  <si>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</si>
  <si>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</si>
  <si>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</si>
  <si>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</si>
  <si>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</si>
  <si>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</si>
  <si>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</si>
  <si>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</si>
  <si>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</si>
  <si>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</si>
  <si>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</si>
  <si>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</si>
  <si>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</si>
  <si>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</si>
  <si>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</si>
  <si>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</si>
  <si>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</si>
  <si>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</si>
  <si>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</si>
  <si>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</si>
  <si>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</si>
  <si>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</si>
  <si>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</si>
  <si>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</si>
  <si>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</si>
  <si>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</si>
  <si>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</si>
  <si>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</si>
  <si>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</si>
  <si>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</si>
  <si>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</si>
  <si>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</si>
  <si>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</si>
  <si>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</si>
  <si>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</si>
  <si>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</si>
  <si>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</si>
  <si>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</si>
  <si>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</si>
  <si>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</si>
  <si>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</si>
  <si>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</si>
  <si>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</si>
  <si>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</si>
  <si>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</si>
  <si>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</si>
  <si>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</si>
  <si>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</si>
  <si>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</si>
  <si>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</si>
  <si>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</si>
  <si>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</si>
  <si>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</si>
  <si>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</si>
  <si>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</si>
  <si>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</si>
  <si>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</si>
  <si>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</si>
  <si>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</si>
  <si>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</si>
  <si>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</si>
  <si>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</si>
  <si>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</si>
  <si>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</si>
  <si>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</si>
  <si>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</si>
  <si>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</si>
  <si>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</si>
  <si>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</si>
  <si>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</si>
  <si>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</si>
  <si>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</si>
  <si>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</si>
  <si>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</si>
  <si>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</si>
  <si>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</si>
  <si>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</si>
  <si>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</si>
  <si>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</si>
  <si>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</si>
  <si>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</si>
  <si>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</si>
  <si>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</si>
  <si>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</si>
  <si>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</si>
  <si>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</si>
  <si>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</si>
  <si>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</si>
  <si>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</si>
  <si>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</si>
  <si>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</si>
  <si>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</si>
  <si>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</si>
  <si>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</si>
  <si>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</si>
  <si>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</si>
  <si>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</si>
  <si>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</si>
  <si>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</si>
  <si>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</si>
  <si>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</si>
  <si>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</si>
  <si>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</si>
  <si>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</si>
  <si>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</si>
  <si>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</si>
  <si>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</si>
  <si>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</si>
  <si>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</si>
  <si>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</si>
  <si>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</si>
  <si>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</si>
  <si>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</si>
  <si>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</si>
  <si>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</si>
  <si>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</si>
  <si>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</si>
  <si>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</si>
  <si>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</si>
  <si>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</si>
  <si>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</si>
  <si>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</si>
  <si>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</si>
  <si>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</si>
  <si>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</si>
  <si>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</si>
  <si>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</si>
  <si>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</si>
  <si>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</si>
  <si>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</si>
  <si>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</si>
  <si>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</si>
  <si>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</si>
  <si>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</si>
  <si>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</si>
  <si>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</si>
  <si>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</si>
  <si>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</si>
  <si>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</si>
  <si>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</si>
  <si>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</si>
  <si>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</si>
  <si>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</si>
  <si>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</si>
  <si>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</si>
  <si>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</si>
  <si>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</si>
  <si>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</si>
  <si>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</si>
  <si>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</si>
  <si>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</si>
  <si>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</si>
  <si>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</si>
  <si>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</si>
  <si>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</si>
  <si>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</si>
  <si>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</si>
  <si>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</si>
  <si>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</si>
  <si>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</si>
  <si>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</si>
  <si>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</si>
  <si>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</si>
  <si>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</si>
  <si>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</si>
  <si>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</si>
  <si>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</si>
  <si>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</si>
  <si>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</si>
  <si>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</si>
  <si>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</si>
  <si>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</si>
  <si>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</si>
  <si>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</si>
  <si>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</si>
  <si>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</si>
  <si>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</si>
  <si>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</si>
  <si>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</si>
  <si>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</si>
  <si>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</si>
  <si>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</si>
  <si>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</si>
  <si>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</si>
  <si>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</si>
  <si>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</si>
  <si>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</si>
  <si>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</si>
  <si>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</si>
  <si>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</si>
  <si>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</si>
  <si>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</si>
  <si>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</si>
  <si>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</si>
  <si>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</si>
  <si>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</si>
  <si>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</si>
  <si>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</si>
  <si>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</si>
  <si>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</si>
  <si>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</si>
  <si>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</si>
  <si>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</si>
  <si>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</si>
  <si>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</si>
  <si>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</si>
  <si>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</si>
  <si>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</si>
  <si>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</si>
  <si>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</si>
  <si>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</si>
  <si>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</si>
  <si>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</si>
  <si>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</si>
  <si>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</si>
  <si>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</si>
  <si>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</si>
  <si>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</si>
  <si>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</si>
  <si>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</si>
  <si>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</si>
  <si>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</si>
  <si>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</si>
  <si>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</si>
  <si>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</si>
  <si>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</si>
  <si>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</si>
  <si>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</si>
  <si>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</si>
  <si>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</si>
  <si>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</si>
  <si>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</si>
  <si>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</si>
  <si>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</si>
  <si>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</si>
  <si>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</si>
  <si>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</si>
  <si>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</si>
  <si>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</si>
  <si>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</si>
  <si>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</si>
  <si>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</si>
  <si>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</si>
  <si>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</si>
  <si>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</si>
  <si>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</si>
  <si>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</si>
  <si>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</si>
  <si>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</si>
  <si>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</si>
  <si>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</si>
  <si>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</si>
  <si>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</si>
  <si>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</si>
  <si>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</si>
  <si>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</si>
  <si>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</si>
  <si>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</si>
  <si>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</si>
  <si>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</si>
  <si>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</si>
  <si>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</si>
  <si>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</si>
  <si>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</si>
  <si>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</si>
  <si>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</si>
  <si>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</si>
  <si>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</si>
  <si>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</si>
  <si>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</si>
  <si>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</si>
  <si>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</si>
  <si>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</si>
  <si>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</si>
  <si>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</si>
  <si>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</si>
  <si>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</si>
  <si>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</si>
  <si>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</si>
  <si>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</si>
  <si>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</si>
  <si>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</si>
  <si>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</si>
  <si>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</si>
  <si>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</si>
  <si>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</si>
  <si>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</si>
  <si>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</si>
  <si>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</si>
  <si>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</si>
  <si>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</si>
  <si>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</si>
  <si>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</si>
  <si>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</si>
  <si>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</si>
  <si>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</si>
  <si>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</si>
  <si>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</si>
  <si>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</si>
  <si>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</si>
  <si>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</si>
  <si>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</si>
  <si>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</si>
  <si>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</si>
  <si>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</si>
  <si>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</si>
  <si>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</si>
  <si>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</si>
  <si>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</si>
  <si>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</si>
  <si>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</si>
  <si>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</si>
  <si>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</si>
  <si>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</si>
  <si>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</si>
  <si>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</si>
  <si>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</si>
  <si>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</si>
  <si>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</si>
  <si>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</si>
  <si>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</si>
  <si>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</si>
  <si>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</si>
  <si>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</si>
  <si>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</si>
  <si>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</si>
  <si>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</si>
  <si>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</si>
  <si>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</si>
  <si>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</si>
  <si>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</si>
  <si>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</si>
  <si>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</si>
  <si>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</si>
  <si>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</si>
  <si>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</si>
  <si>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</si>
  <si>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</si>
  <si>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</si>
  <si>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</si>
  <si>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</si>
  <si>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</si>
  <si>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</si>
  <si>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</si>
  <si>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</si>
  <si>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</si>
  <si>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</si>
  <si>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</si>
  <si>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</si>
  <si>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</si>
  <si>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</si>
  <si>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</si>
  <si>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</si>
  <si>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</si>
  <si>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</si>
  <si>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</si>
  <si>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</si>
  <si>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</si>
  <si>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</si>
  <si>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</si>
  <si>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</si>
  <si>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</si>
  <si>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</si>
  <si>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</si>
  <si>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</si>
  <si>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</si>
  <si>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</si>
  <si>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</si>
  <si>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</si>
  <si>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</si>
  <si>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</si>
  <si>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</si>
  <si>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</si>
  <si>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</si>
  <si>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</si>
  <si>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</si>
  <si>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</si>
  <si>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</si>
  <si>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</si>
  <si>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</si>
  <si>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</si>
  <si>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</si>
  <si>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</si>
  <si>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</si>
  <si>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</si>
  <si>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</si>
  <si>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</si>
  <si>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</si>
  <si>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</si>
  <si>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</si>
  <si>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</si>
  <si>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</si>
  <si>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</si>
  <si>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</si>
  <si>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</si>
  <si>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</si>
  <si>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</si>
  <si>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</si>
  <si>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</si>
  <si>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</si>
  <si>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</si>
  <si>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</si>
  <si>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</si>
  <si>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</si>
  <si>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</si>
  <si>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</si>
  <si>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</si>
  <si>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</si>
  <si>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</si>
  <si>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</si>
  <si>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</si>
  <si>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</si>
  <si>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</si>
  <si>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</si>
  <si>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</si>
  <si>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</si>
  <si>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</si>
  <si>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</si>
  <si>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</si>
  <si>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</si>
  <si>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</si>
  <si>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</si>
  <si>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</si>
  <si>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</si>
  <si>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</si>
  <si>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</si>
  <si>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</si>
  <si>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</si>
  <si>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</si>
  <si>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</si>
  <si>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</si>
  <si>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</si>
  <si>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</si>
  <si>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</si>
  <si>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</si>
  <si>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</si>
  <si>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</si>
  <si>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</si>
  <si>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</si>
  <si>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</si>
  <si>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</si>
  <si>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</si>
  <si>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</si>
  <si>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</si>
  <si>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</si>
  <si>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</si>
  <si>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</si>
  <si>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</si>
  <si>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</si>
  <si>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</si>
  <si>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</si>
  <si>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</si>
  <si>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</si>
  <si>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</si>
  <si>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</si>
  <si>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</si>
  <si>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</si>
  <si>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</si>
  <si>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</si>
  <si>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</si>
  <si>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</si>
  <si>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</si>
  <si>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</si>
  <si>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</si>
  <si>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</si>
  <si>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</si>
  <si>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</si>
  <si>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</si>
  <si>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</si>
  <si>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</si>
  <si>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</si>
  <si>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</si>
  <si>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</si>
  <si>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</si>
  <si>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</si>
  <si>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</si>
  <si>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</si>
  <si>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</si>
  <si>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</si>
  <si>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</si>
  <si>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</si>
  <si>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</si>
  <si>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</si>
  <si>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</si>
  <si>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</si>
  <si>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</si>
  <si>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</si>
  <si>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</si>
  <si>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</si>
  <si>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</si>
  <si>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</si>
  <si>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</si>
  <si>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</si>
  <si>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</si>
  <si>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</si>
  <si>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</si>
  <si>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</si>
  <si>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</si>
  <si>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</si>
  <si>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</si>
  <si>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</si>
  <si>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</si>
  <si>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</si>
  <si>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</si>
  <si>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</si>
  <si>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</si>
  <si>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</si>
  <si>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</si>
  <si>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</si>
  <si>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</si>
  <si>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</si>
  <si>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</si>
  <si>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</si>
  <si>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</si>
  <si>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</si>
  <si>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</si>
  <si>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</si>
  <si>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</si>
  <si>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</si>
  <si>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</si>
  <si>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</si>
  <si>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</si>
  <si>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</si>
  <si>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</si>
  <si>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</si>
  <si>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</si>
  <si>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</si>
  <si>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</si>
  <si>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</si>
  <si>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</si>
  <si>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</si>
  <si>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</si>
  <si>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</si>
  <si>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</si>
  <si>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</si>
  <si>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</si>
  <si>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</si>
  <si>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</si>
  <si>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</si>
  <si>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</si>
  <si>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</si>
  <si>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</si>
  <si>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</si>
  <si>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</si>
  <si>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</si>
  <si>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</si>
  <si>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</si>
  <si>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</si>
  <si>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</si>
  <si>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</si>
  <si>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</si>
  <si>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</si>
  <si>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</si>
  <si>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</si>
  <si>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</si>
  <si>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</si>
  <si>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</si>
  <si>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</si>
  <si>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</si>
  <si>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</si>
  <si>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</si>
  <si>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</si>
  <si>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</si>
  <si>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</si>
  <si>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</si>
  <si>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</si>
  <si>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</si>
  <si>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</si>
  <si>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</si>
  <si>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</si>
  <si>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</si>
  <si>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</si>
  <si>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</si>
  <si>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</si>
  <si>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</si>
  <si>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</si>
  <si>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</si>
  <si>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</si>
  <si>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</si>
  <si>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</si>
  <si>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</si>
  <si>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</si>
  <si>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</si>
  <si>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</si>
  <si>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</si>
  <si>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</si>
  <si>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</si>
  <si>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</si>
  <si>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</si>
  <si>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</si>
  <si>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</si>
  <si>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</si>
  <si>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</si>
  <si>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</si>
  <si>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</si>
  <si>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</si>
  <si>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</si>
  <si>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</si>
  <si>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</si>
  <si>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</si>
  <si>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</si>
  <si>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</si>
  <si>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</si>
  <si>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</si>
  <si>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</si>
  <si>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</si>
  <si>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</si>
  <si>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</si>
  <si>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</si>
  <si>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</si>
  <si>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</si>
  <si>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</si>
  <si>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</si>
  <si>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</si>
  <si>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</si>
  <si>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</si>
  <si>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</si>
  <si>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</si>
  <si>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</si>
  <si>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</si>
  <si>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</si>
  <si>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</si>
  <si>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</si>
  <si>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</si>
  <si>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</si>
  <si>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</si>
  <si>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</si>
  <si>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</si>
  <si>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</si>
  <si>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</si>
  <si>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</si>
  <si>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</si>
  <si>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</si>
  <si>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</si>
  <si>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</si>
  <si>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</si>
  <si>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</si>
  <si>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</si>
  <si>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</si>
  <si>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</si>
  <si>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</si>
  <si>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</si>
  <si>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</si>
  <si>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</si>
  <si>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</si>
  <si>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</si>
  <si>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</si>
  <si>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</si>
  <si>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</si>
  <si>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</si>
  <si>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</si>
  <si>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</si>
  <si>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</si>
  <si>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</si>
  <si>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</si>
  <si>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</si>
  <si>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</si>
  <si>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</si>
  <si>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</si>
  <si>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</si>
  <si>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</si>
  <si>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</si>
  <si>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</si>
  <si>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</si>
  <si>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</si>
  <si>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</si>
  <si>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</si>
  <si>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</si>
  <si>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</si>
  <si>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</si>
  <si>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</si>
  <si>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</si>
  <si>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</si>
  <si>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</si>
  <si>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</si>
  <si>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</si>
  <si>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</si>
  <si>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</si>
  <si>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</si>
  <si>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</si>
  <si>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</si>
  <si>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</si>
  <si>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</si>
  <si>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</si>
  <si>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</si>
  <si>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</si>
  <si>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</si>
  <si>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</si>
  <si>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</si>
  <si>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</si>
  <si>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</si>
  <si>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</si>
  <si>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</si>
  <si>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</si>
  <si>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</si>
  <si>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</si>
  <si>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</si>
  <si>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</si>
  <si>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</si>
  <si>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</si>
  <si>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</si>
  <si>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</si>
  <si>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</si>
  <si>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</si>
  <si>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</si>
  <si>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</si>
  <si>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</si>
  <si>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</si>
  <si>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</si>
  <si>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</si>
  <si>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</si>
  <si>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</si>
  <si>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</si>
  <si>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</si>
  <si>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</si>
  <si>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</si>
  <si>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</si>
  <si>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</si>
  <si>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</si>
  <si>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</si>
  <si>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</si>
  <si>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</si>
  <si>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</si>
  <si>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</si>
  <si>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</si>
  <si>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</si>
  <si>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</si>
  <si>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</si>
  <si>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</si>
  <si>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</si>
  <si>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</si>
  <si>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</si>
  <si>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</si>
  <si>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</si>
  <si>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</si>
  <si>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</si>
  <si>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</si>
  <si>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</si>
  <si>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</si>
  <si>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</si>
  <si>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</si>
  <si>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</si>
  <si>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</si>
  <si>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</si>
  <si>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</si>
  <si>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</si>
  <si>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</si>
  <si>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</si>
  <si>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</si>
  <si>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</si>
  <si>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</si>
  <si>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</si>
  <si>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</si>
  <si>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</si>
  <si>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</si>
  <si>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</si>
  <si>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</si>
  <si>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</si>
  <si>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</si>
  <si>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</si>
  <si>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</si>
  <si>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</si>
  <si>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</si>
  <si>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</si>
  <si>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</si>
  <si>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</si>
  <si>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</si>
  <si>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</si>
  <si>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</si>
  <si>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</si>
  <si>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</si>
  <si>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</si>
  <si>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</si>
  <si>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</si>
  <si>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</si>
  <si>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</si>
  <si>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</si>
  <si>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</si>
  <si>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</si>
  <si>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</si>
  <si>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</si>
  <si>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</si>
  <si>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</si>
  <si>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</si>
  <si>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</si>
  <si>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</si>
  <si>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</si>
  <si>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</si>
  <si>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</si>
  <si>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</si>
  <si>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</si>
  <si>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</si>
  <si>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</si>
  <si>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</si>
  <si>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</si>
  <si>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</si>
  <si>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</si>
  <si>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</si>
  <si>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</si>
  <si>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</si>
  <si>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</si>
  <si>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</si>
  <si>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</si>
  <si>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</si>
  <si>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</si>
  <si>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</si>
  <si>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</si>
  <si>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</si>
  <si>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</si>
  <si>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</si>
  <si>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</si>
  <si>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</si>
  <si>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</si>
  <si>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</si>
  <si>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</si>
  <si>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</si>
  <si>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</si>
  <si>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</si>
  <si>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</si>
  <si>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</si>
  <si>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</si>
  <si>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</si>
  <si>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</si>
  <si>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</si>
  <si>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</si>
  <si>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</si>
  <si>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</si>
  <si>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</si>
  <si>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</si>
  <si>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</si>
  <si>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</si>
  <si>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</si>
  <si>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</si>
  <si>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</si>
  <si>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</si>
  <si>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</si>
  <si>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</si>
  <si>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</si>
  <si>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</si>
  <si>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</si>
  <si>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</si>
  <si>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</si>
  <si>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</si>
  <si>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</si>
  <si>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</si>
  <si>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</si>
  <si>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</si>
  <si>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</si>
  <si>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</si>
  <si>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</si>
  <si>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</si>
  <si>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</si>
  <si>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</si>
  <si>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</si>
  <si>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</si>
  <si>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</si>
  <si>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</si>
  <si>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</si>
  <si>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</si>
  <si>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</si>
  <si>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</si>
  <si>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</si>
  <si>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</si>
  <si>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</si>
  <si>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</si>
  <si>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</si>
  <si>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</si>
  <si>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</si>
  <si>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</si>
  <si>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</si>
  <si>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</si>
  <si>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</si>
  <si>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</si>
  <si>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</si>
  <si>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</si>
  <si>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</si>
  <si>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</si>
  <si>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</si>
  <si>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</si>
  <si>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</si>
  <si>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</si>
  <si>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</si>
  <si>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</si>
  <si>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</si>
  <si>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</si>
  <si>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</si>
  <si>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</si>
  <si>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</si>
  <si>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</si>
  <si>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</si>
  <si>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</si>
  <si>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</si>
  <si>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</si>
  <si>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</si>
  <si>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</si>
  <si>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</si>
  <si>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</si>
  <si>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</si>
  <si>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</si>
  <si>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</si>
  <si>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</si>
  <si>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</si>
  <si>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</si>
  <si>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</si>
  <si>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</si>
  <si>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</si>
  <si>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</si>
  <si>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</si>
  <si>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</si>
  <si>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</si>
  <si>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</si>
  <si>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</si>
  <si>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</si>
  <si>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</si>
  <si>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</si>
  <si>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</si>
  <si>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</si>
  <si>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</si>
  <si>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</si>
  <si>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</si>
  <si>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</si>
  <si>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</si>
  <si>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</si>
  <si>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</si>
  <si>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</si>
  <si>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</si>
  <si>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</si>
  <si>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</si>
  <si>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</si>
  <si>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</si>
  <si>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</si>
  <si>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</si>
  <si>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</si>
  <si>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</si>
  <si>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</si>
  <si>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</si>
  <si>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</si>
  <si>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</si>
  <si>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</si>
  <si>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</si>
  <si>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</si>
  <si>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</si>
  <si>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</si>
  <si>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</si>
  <si>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</si>
  <si>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</si>
  <si>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</si>
  <si>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</si>
  <si>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</si>
  <si>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</si>
  <si>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</si>
  <si>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</si>
  <si>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</si>
  <si>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</si>
  <si>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</si>
  <si>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</si>
  <si>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</si>
  <si>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</si>
  <si>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</si>
  <si>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</si>
  <si>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</si>
  <si>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</si>
  <si>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</si>
  <si>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</si>
  <si>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</si>
  <si>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</si>
  <si>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</si>
  <si>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</si>
  <si>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</si>
  <si>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</si>
  <si>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</si>
  <si>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</si>
  <si>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</si>
  <si>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</si>
  <si>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</si>
  <si>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</si>
  <si>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</si>
  <si>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</si>
  <si>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</si>
  <si>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</si>
  <si>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</si>
  <si>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</si>
  <si>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</si>
  <si>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</si>
  <si>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</si>
  <si>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</si>
  <si>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</si>
  <si>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</si>
  <si>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</si>
  <si>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</si>
  <si>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</si>
  <si>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</si>
  <si>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</si>
  <si>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</si>
  <si>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</si>
  <si>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</si>
  <si>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</si>
  <si>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</si>
  <si>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</si>
  <si>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</si>
  <si>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</si>
  <si>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</si>
  <si>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</si>
  <si>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</si>
  <si>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</si>
  <si>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</si>
  <si>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</si>
  <si>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</si>
  <si>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</si>
  <si>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</si>
  <si>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</si>
  <si>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</si>
  <si>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</si>
  <si>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</si>
  <si>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</si>
  <si>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</si>
  <si>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</si>
  <si>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</si>
  <si>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</si>
  <si>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</si>
  <si>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</si>
  <si>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</si>
  <si>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</si>
  <si>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</si>
  <si>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</si>
  <si>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</si>
  <si>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</si>
  <si>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</si>
  <si>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</si>
  <si>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</si>
  <si>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</si>
  <si>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</si>
  <si>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</si>
  <si>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</si>
  <si>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</si>
  <si>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</si>
  <si>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</si>
  <si>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</si>
  <si>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</si>
  <si>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</si>
  <si>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</si>
  <si>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</si>
  <si>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</si>
  <si>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</si>
  <si>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</si>
  <si>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</si>
  <si>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</si>
  <si>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</si>
  <si>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</si>
  <si>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</si>
  <si>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</si>
  <si>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</si>
  <si>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</si>
  <si>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</si>
  <si>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</si>
  <si>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</si>
  <si>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</si>
  <si>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</si>
  <si>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</si>
  <si>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</si>
  <si>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</si>
  <si>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</si>
  <si>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</si>
  <si>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</si>
  <si>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</si>
  <si>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</si>
  <si>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</si>
  <si>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</si>
  <si>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</si>
  <si>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</si>
  <si>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</si>
  <si>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</si>
  <si>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</si>
  <si>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</si>
  <si>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</si>
  <si>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</si>
  <si>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</si>
  <si>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</si>
  <si>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</si>
  <si>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</si>
  <si>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</si>
  <si>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</si>
  <si>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</si>
  <si>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</si>
  <si>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</si>
  <si>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</si>
  <si>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</si>
  <si>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</si>
  <si>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</si>
  <si>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</si>
  <si>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</si>
  <si>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</si>
  <si>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</si>
  <si>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</si>
  <si>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</si>
  <si>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</si>
  <si>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</si>
  <si>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</si>
  <si>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</si>
  <si>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</si>
  <si>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</si>
  <si>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</si>
  <si>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</si>
  <si>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</si>
  <si>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</si>
  <si>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</si>
  <si>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</si>
  <si>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</si>
  <si>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</si>
  <si>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</si>
  <si>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</si>
  <si>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</si>
  <si>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</si>
  <si>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</si>
  <si>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</si>
  <si>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</si>
  <si>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</si>
  <si>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</si>
  <si>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</si>
  <si>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</si>
  <si>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</si>
  <si>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</si>
  <si>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</si>
  <si>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</si>
  <si>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</si>
  <si>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</si>
  <si>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</si>
  <si>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</si>
  <si>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</si>
  <si>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</si>
  <si>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</si>
  <si>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</si>
  <si>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</si>
  <si>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</si>
  <si>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</si>
  <si>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</si>
  <si>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</si>
  <si>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</si>
  <si>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</si>
  <si>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</si>
  <si>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</si>
  <si>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</si>
  <si>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</si>
  <si>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</si>
  <si>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</si>
  <si>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</si>
  <si>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</si>
  <si>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</si>
  <si>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</si>
  <si>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</si>
  <si>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</si>
  <si>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</si>
  <si>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</si>
  <si>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</si>
  <si>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</si>
  <si>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</si>
  <si>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</si>
  <si>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</si>
  <si>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</si>
  <si>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</si>
  <si>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</si>
  <si>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</si>
  <si>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</si>
  <si>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</si>
  <si>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</si>
  <si>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</si>
  <si>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</si>
  <si>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</si>
  <si>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</si>
  <si>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</si>
  <si>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</si>
  <si>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</si>
  <si>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</si>
  <si>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</si>
  <si>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</si>
  <si>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</si>
  <si>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</si>
  <si>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</si>
  <si>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</si>
  <si>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</si>
  <si>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</si>
  <si>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</si>
  <si>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</si>
  <si>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</si>
  <si>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</si>
  <si>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</si>
  <si>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</si>
  <si>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</si>
  <si>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</si>
  <si>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</si>
  <si>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</si>
  <si>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</si>
  <si>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</si>
  <si>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</si>
  <si>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</si>
  <si>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</si>
  <si>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</si>
  <si>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</si>
  <si>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</si>
  <si>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</si>
  <si>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</si>
  <si>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</si>
  <si>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</si>
  <si>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</si>
  <si>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</si>
  <si>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</si>
  <si>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</si>
  <si>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</si>
  <si>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</si>
  <si>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</si>
  <si>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</si>
  <si>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</si>
  <si>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</si>
  <si>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</si>
  <si>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</si>
  <si>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</si>
  <si>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</si>
  <si>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</si>
  <si>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</si>
  <si>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</si>
  <si>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</si>
  <si>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</si>
  <si>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</si>
  <si>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</si>
  <si>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</si>
  <si>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</si>
  <si>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</si>
  <si>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</si>
  <si>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</si>
  <si>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</si>
  <si>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</si>
  <si>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</si>
  <si>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</si>
  <si>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</si>
  <si>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</si>
  <si>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</si>
  <si>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</si>
  <si>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</si>
  <si>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</si>
  <si>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</si>
  <si>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</si>
  <si>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</si>
  <si>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</si>
  <si>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</si>
  <si>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</si>
  <si>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</si>
  <si>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</si>
  <si>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</si>
  <si>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</si>
  <si>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</si>
  <si>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</si>
  <si>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</si>
  <si>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</si>
  <si>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</si>
  <si>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</si>
  <si>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</si>
  <si>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</si>
  <si>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</si>
  <si>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</si>
  <si>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</si>
  <si>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</si>
  <si>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</si>
  <si>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</si>
  <si>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</si>
  <si>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</si>
  <si>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</si>
  <si>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</si>
  <si>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</si>
  <si>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</si>
  <si>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</si>
  <si>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</si>
  <si>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</si>
  <si>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</si>
  <si>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</si>
  <si>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</si>
  <si>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</si>
  <si>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</si>
  <si>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</si>
  <si>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</si>
  <si>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</si>
  <si>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</si>
  <si>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</si>
  <si>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</si>
  <si>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</si>
  <si>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</si>
  <si>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</si>
  <si>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</si>
  <si>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</si>
  <si>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</si>
  <si>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</si>
  <si>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</si>
  <si>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</si>
  <si>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</si>
  <si>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</si>
  <si>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</si>
  <si>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</si>
  <si>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</si>
  <si>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</si>
  <si>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</si>
  <si>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</si>
  <si>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</si>
  <si>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</si>
  <si>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</si>
  <si>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</si>
  <si>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</si>
  <si>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</si>
  <si>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</si>
  <si>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</si>
  <si>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</si>
  <si>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</si>
  <si>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</si>
  <si>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</si>
  <si>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</si>
  <si>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</si>
  <si>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</si>
  <si>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</si>
  <si>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</si>
  <si>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</si>
  <si>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</si>
  <si>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</si>
  <si>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</si>
  <si>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</si>
  <si>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</si>
  <si>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</si>
  <si>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</si>
  <si>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</si>
  <si>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</si>
  <si>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</si>
  <si>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</si>
  <si>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</si>
  <si>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</si>
  <si>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</si>
  <si>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</si>
  <si>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</si>
  <si>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</si>
  <si>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</si>
  <si>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</si>
  <si>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</si>
  <si>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</si>
  <si>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</si>
  <si>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</si>
  <si>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</si>
  <si>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</si>
  <si>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</si>
  <si>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</si>
  <si>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</si>
  <si>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</si>
  <si>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</si>
  <si>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</si>
  <si>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</si>
  <si>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</si>
  <si>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</si>
  <si>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</si>
  <si>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</si>
  <si>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</si>
  <si>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</si>
  <si>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</si>
  <si>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</si>
  <si>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</si>
  <si>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</si>
  <si>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</si>
  <si>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</si>
  <si>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</si>
  <si>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</si>
  <si>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</si>
  <si>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</si>
  <si>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</si>
  <si>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</si>
  <si>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</si>
  <si>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</si>
  <si>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</si>
  <si>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</si>
  <si>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</si>
  <si>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</si>
  <si>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</si>
  <si>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</si>
  <si>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</si>
  <si>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</si>
  <si>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</si>
  <si>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</si>
  <si>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</si>
  <si>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</si>
  <si>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</si>
  <si>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</si>
  <si>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</si>
  <si>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</si>
  <si>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</si>
  <si>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</si>
  <si>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</si>
  <si>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</si>
  <si>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</si>
  <si>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</si>
  <si>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</si>
  <si>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</si>
  <si>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</si>
  <si>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</si>
  <si>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</si>
  <si>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</si>
  <si>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</si>
  <si>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</si>
  <si>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</si>
  <si>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</si>
  <si>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</si>
  <si>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</si>
  <si>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</si>
  <si>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</si>
  <si>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</si>
  <si>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</si>
  <si>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</si>
  <si>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</si>
  <si>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</si>
  <si>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</si>
  <si>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</si>
  <si>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</si>
  <si>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</si>
  <si>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</si>
  <si>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</si>
  <si>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</si>
  <si>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</si>
  <si>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</si>
  <si>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</si>
  <si>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</si>
  <si>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</si>
  <si>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</si>
  <si>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</si>
  <si>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</si>
  <si>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</si>
  <si>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</si>
  <si>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</si>
  <si>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</si>
  <si>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</si>
  <si>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</si>
  <si>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</si>
  <si>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</si>
  <si>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</si>
  <si>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</si>
  <si>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</si>
  <si>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</si>
  <si>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</si>
  <si>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</si>
  <si>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</si>
  <si>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</si>
  <si>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</si>
  <si>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</si>
  <si>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</si>
  <si>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</si>
  <si>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</si>
  <si>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</si>
  <si>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</si>
  <si>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</si>
  <si>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</si>
  <si>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</si>
  <si>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</si>
  <si>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</si>
  <si>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</si>
  <si>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</si>
  <si>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</si>
  <si>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</si>
  <si>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</si>
  <si>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</si>
  <si>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</si>
  <si>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</si>
  <si>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</si>
  <si>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</si>
  <si>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</si>
  <si>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</si>
  <si>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</si>
  <si>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</si>
  <si>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</si>
  <si>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</si>
  <si>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</si>
  <si>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</si>
  <si>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</si>
  <si>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</si>
  <si>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</si>
  <si>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</si>
  <si>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</si>
  <si>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</si>
  <si>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</si>
  <si>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</si>
  <si>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</si>
  <si>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</si>
  <si>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</si>
  <si>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</si>
  <si>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</si>
  <si>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</si>
  <si>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</si>
  <si>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</si>
  <si>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</si>
  <si>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</si>
  <si>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</si>
  <si>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</si>
  <si>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</si>
  <si>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</si>
  <si>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</si>
  <si>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</si>
  <si>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</si>
  <si>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</si>
  <si>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</si>
  <si>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</si>
  <si>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</si>
  <si>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</si>
  <si>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</si>
  <si>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</si>
  <si>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</si>
  <si>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</si>
  <si>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</si>
  <si>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</si>
  <si>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</si>
  <si>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</si>
  <si>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</si>
  <si>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</si>
  <si>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</si>
  <si>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</si>
  <si>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</si>
  <si>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</si>
  <si>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</si>
  <si>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</si>
  <si>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</si>
  <si>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</si>
  <si>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</si>
  <si>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</si>
  <si>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</si>
  <si>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</si>
  <si>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</si>
  <si>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</si>
  <si>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</si>
  <si>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</si>
  <si>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</si>
  <si>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</si>
  <si>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</si>
  <si>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</si>
  <si>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</si>
  <si>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</si>
  <si>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</si>
  <si>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</si>
  <si>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</si>
  <si>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</si>
  <si>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</si>
  <si>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</si>
  <si>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</si>
  <si>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</si>
  <si>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</si>
  <si>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</si>
  <si>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</si>
  <si>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</si>
  <si>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</si>
  <si>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</si>
  <si>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</si>
  <si>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</si>
  <si>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</si>
  <si>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</si>
  <si>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</si>
  <si>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</si>
  <si>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</si>
  <si>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</si>
  <si>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</si>
  <si>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</si>
  <si>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</si>
  <si>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</si>
  <si>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</si>
  <si>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</si>
  <si>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</si>
  <si>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</si>
  <si>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</si>
  <si>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</si>
  <si>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</si>
  <si>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</si>
  <si>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</si>
  <si>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</si>
  <si>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</si>
  <si>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</si>
  <si>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</si>
  <si>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</si>
  <si>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</si>
  <si>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</si>
  <si>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</si>
  <si>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</si>
  <si>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</si>
  <si>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</si>
  <si>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</si>
  <si>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</si>
  <si>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</si>
  <si>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</si>
  <si>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</si>
  <si>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</si>
  <si>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</si>
  <si>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</si>
  <si>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</si>
  <si>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</si>
  <si>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</si>
  <si>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</si>
  <si>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</si>
  <si>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</si>
  <si>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</si>
  <si>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</si>
  <si>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</si>
  <si>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</si>
  <si>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</si>
  <si>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</si>
  <si>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</si>
  <si>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</si>
  <si>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</si>
  <si>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</si>
  <si>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</si>
  <si>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</si>
  <si>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</si>
  <si>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</si>
  <si>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</si>
  <si>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</si>
  <si>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</si>
  <si>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</si>
  <si>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</si>
  <si>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</si>
  <si>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</si>
  <si>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</si>
  <si>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</si>
  <si>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</si>
  <si>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</si>
  <si>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</si>
  <si>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</si>
  <si>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</si>
  <si>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</si>
  <si>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</si>
  <si>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</si>
  <si>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</si>
  <si>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</si>
  <si>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</si>
  <si>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</si>
  <si>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</si>
  <si>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</si>
  <si>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</si>
  <si>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</si>
  <si>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</si>
  <si>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</si>
  <si>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</si>
  <si>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</si>
  <si>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</si>
  <si>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</si>
  <si>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</si>
  <si>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</si>
  <si>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</si>
  <si>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</si>
  <si>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</si>
  <si>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</si>
  <si>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</si>
  <si>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</si>
  <si>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</si>
  <si>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</si>
  <si>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</si>
  <si>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</si>
  <si>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</si>
  <si>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</si>
  <si>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</si>
  <si>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</si>
  <si>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</si>
  <si>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</si>
  <si>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</si>
  <si>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</si>
  <si>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</si>
  <si>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</si>
  <si>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</si>
  <si>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</si>
  <si>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</si>
  <si>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</si>
  <si>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</si>
  <si>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</si>
  <si>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</si>
  <si>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</si>
  <si>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</si>
  <si>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</si>
  <si>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</si>
  <si>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</si>
  <si>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</si>
  <si>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</si>
  <si>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</si>
  <si>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</si>
  <si>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</si>
  <si>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</si>
  <si>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</si>
  <si>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</si>
  <si>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</si>
  <si>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</si>
  <si>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</si>
  <si>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</si>
  <si>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</si>
  <si>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</si>
  <si>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</si>
  <si>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</si>
  <si>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</si>
  <si>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</si>
  <si>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</si>
  <si>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</si>
  <si>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</si>
  <si>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</si>
  <si>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</si>
  <si>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</si>
  <si>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</si>
  <si>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</si>
  <si>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</si>
  <si>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</si>
  <si>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</si>
  <si>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</si>
  <si>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</si>
  <si>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</si>
  <si>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</si>
  <si>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</si>
  <si>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</si>
  <si>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</si>
  <si>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</si>
  <si>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</si>
  <si>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</si>
  <si>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</si>
  <si>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</si>
  <si>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</si>
  <si>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</si>
  <si>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</si>
  <si>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</si>
  <si>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</si>
  <si>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</si>
  <si>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</si>
  <si>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</si>
  <si>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</si>
  <si>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</si>
  <si>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</si>
  <si>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</si>
  <si>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</si>
  <si>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</si>
  <si>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</si>
  <si>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</si>
  <si>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</si>
  <si>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</si>
  <si>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</si>
  <si>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</si>
  <si>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</si>
  <si>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</si>
  <si>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</si>
  <si>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</si>
  <si>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</si>
  <si>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</si>
  <si>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</si>
  <si>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</si>
  <si>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</si>
  <si>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</si>
  <si>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</si>
  <si>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</si>
  <si>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</si>
  <si>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</si>
  <si>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</si>
  <si>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</si>
  <si>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</si>
  <si>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</si>
  <si>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</si>
  <si>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</si>
  <si>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</si>
  <si>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</si>
  <si>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</si>
  <si>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</si>
  <si>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</si>
  <si>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</si>
  <si>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</si>
  <si>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</si>
  <si>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</si>
  <si>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</si>
  <si>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</si>
  <si>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</si>
  <si>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</si>
  <si>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</si>
  <si>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</si>
  <si>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</si>
  <si>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</si>
  <si>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</si>
  <si>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</si>
  <si>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</si>
  <si>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</si>
  <si>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</si>
  <si>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</si>
  <si>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</si>
  <si>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</si>
  <si>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</si>
  <si>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</si>
  <si>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</si>
  <si>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</si>
  <si>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</si>
  <si>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</si>
  <si>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</si>
  <si>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</si>
  <si>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</si>
  <si>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</si>
  <si>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</si>
  <si>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</si>
  <si>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</si>
  <si>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</si>
  <si>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</si>
  <si>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</si>
  <si>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</si>
  <si>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</si>
  <si>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</si>
  <si>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</si>
  <si>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</si>
  <si>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</si>
  <si>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</si>
  <si>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</si>
  <si>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</si>
  <si>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</si>
  <si>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</si>
  <si>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</si>
  <si>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</si>
  <si>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</si>
  <si>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</si>
  <si>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</si>
  <si>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</si>
  <si>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</si>
  <si>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</si>
  <si>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</si>
  <si>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</si>
  <si>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</si>
  <si>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</si>
  <si>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</si>
  <si>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</si>
  <si>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</si>
  <si>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</si>
  <si>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</si>
  <si>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</si>
  <si>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</si>
  <si>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</si>
  <si>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</si>
  <si>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</si>
  <si>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</si>
  <si>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</si>
  <si>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</si>
  <si>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</si>
  <si>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</si>
  <si>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</si>
  <si>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</si>
  <si>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</si>
  <si>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</si>
  <si>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</si>
  <si>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</si>
  <si>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</si>
  <si>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</si>
  <si>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</si>
  <si>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</si>
  <si>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</si>
  <si>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</si>
  <si>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</si>
  <si>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</si>
  <si>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</si>
  <si>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</si>
  <si>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</si>
  <si>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</si>
  <si>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</si>
  <si>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</si>
  <si>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</si>
  <si>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</si>
  <si>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</si>
  <si>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</si>
  <si>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</si>
  <si>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</si>
  <si>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</si>
  <si>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</si>
  <si>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</si>
  <si>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</si>
  <si>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</si>
  <si>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</si>
  <si>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</si>
  <si>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</si>
  <si>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</si>
  <si>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</si>
  <si>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</si>
  <si>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</si>
  <si>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</si>
  <si>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</si>
  <si>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</si>
  <si>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</si>
  <si>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</si>
  <si>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</si>
  <si>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</si>
  <si>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</si>
  <si>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</si>
  <si>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</si>
  <si>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</si>
  <si>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</si>
  <si>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</si>
  <si>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</si>
  <si>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</si>
  <si>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</si>
  <si>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</si>
  <si>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</si>
  <si>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</si>
  <si>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</si>
  <si>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</si>
  <si>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</si>
  <si>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</si>
  <si>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</si>
  <si>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</si>
  <si>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</si>
  <si>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</si>
  <si>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</si>
  <si>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</si>
  <si>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</si>
  <si>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</si>
  <si>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</si>
  <si>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</si>
  <si>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</si>
  <si>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</si>
  <si>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</si>
  <si>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</si>
  <si>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</si>
  <si>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</si>
  <si>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</si>
  <si>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</si>
  <si>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</si>
  <si>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</si>
  <si>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</si>
  <si>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</si>
  <si>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</si>
  <si>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</si>
  <si>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</si>
  <si>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</si>
  <si>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</si>
  <si>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</si>
  <si>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</si>
  <si>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</si>
  <si>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</si>
  <si>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</si>
  <si>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</si>
  <si>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</si>
  <si>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</si>
  <si>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</si>
  <si>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</si>
  <si>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</si>
  <si>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</si>
  <si>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</si>
  <si>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</si>
  <si>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</si>
  <si>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</si>
  <si>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</si>
  <si>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</si>
  <si>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</si>
  <si>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</si>
  <si>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</si>
  <si>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</si>
  <si>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</si>
  <si>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</si>
  <si>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</si>
  <si>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</si>
  <si>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</si>
  <si>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</si>
  <si>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</si>
  <si>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</si>
  <si>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</si>
  <si>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</si>
  <si>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</si>
  <si>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</si>
  <si>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</si>
  <si>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</si>
  <si>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</si>
  <si>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</si>
  <si>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</si>
  <si>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</si>
  <si>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</si>
  <si>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</si>
  <si>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</si>
  <si>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</si>
  <si>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</si>
  <si>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</si>
  <si>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</si>
  <si>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</si>
  <si>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</si>
  <si>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</si>
  <si>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</si>
  <si>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</si>
  <si>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</si>
  <si>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</si>
  <si>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</si>
  <si>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</si>
  <si>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</si>
  <si>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</si>
  <si>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</si>
  <si>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</si>
  <si>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</si>
  <si>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</si>
  <si>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</si>
  <si>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</si>
  <si>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</si>
  <si>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</si>
  <si>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</si>
  <si>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</si>
  <si>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</si>
  <si>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</si>
  <si>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</si>
  <si>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</si>
  <si>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</si>
  <si>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</si>
  <si>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</si>
  <si>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</si>
  <si>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</si>
  <si>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</si>
  <si>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</si>
  <si>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</si>
  <si>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</si>
  <si>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</si>
  <si>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</si>
  <si>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</si>
  <si>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</si>
  <si>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</si>
  <si>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</si>
  <si>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</si>
  <si>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</si>
  <si>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</si>
  <si>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</si>
  <si>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</si>
  <si>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</si>
  <si>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</si>
  <si>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</si>
  <si>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</si>
  <si>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</si>
  <si>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</si>
  <si>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</si>
  <si>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</si>
  <si>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</si>
  <si>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</si>
  <si>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</si>
  <si>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</si>
  <si>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</si>
  <si>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</si>
  <si>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</si>
  <si>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</si>
  <si>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</si>
  <si>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</si>
  <si>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</si>
  <si>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</si>
  <si>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</si>
  <si>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</si>
  <si>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</si>
  <si>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</si>
  <si>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</si>
  <si>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</si>
  <si>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</si>
  <si>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</si>
  <si>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</si>
  <si>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</si>
  <si>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</si>
  <si>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</si>
  <si>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</si>
  <si>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</si>
  <si>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</si>
  <si>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</si>
  <si>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</si>
  <si>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</si>
  <si>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</si>
  <si>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</si>
  <si>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</si>
  <si>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</si>
  <si>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</si>
  <si>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</si>
  <si>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</si>
  <si>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</si>
  <si>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</si>
  <si>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</si>
  <si>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</si>
  <si>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</si>
  <si>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</si>
  <si>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</si>
  <si>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</si>
  <si>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</si>
  <si>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</si>
  <si>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</si>
  <si>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</si>
  <si>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</si>
  <si>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</si>
  <si>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</si>
  <si>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</si>
  <si>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</si>
  <si>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</si>
  <si>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</si>
  <si>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</si>
  <si>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</si>
  <si>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</si>
  <si>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</si>
  <si>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</si>
  <si>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</si>
  <si>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</si>
  <si>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</si>
  <si>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</si>
  <si>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</si>
  <si>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</si>
  <si>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</si>
  <si>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</si>
  <si>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</si>
  <si>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</si>
  <si>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</si>
  <si>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</si>
  <si>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</si>
  <si>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</si>
  <si>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</si>
  <si>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</si>
  <si>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</si>
  <si>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</si>
  <si>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</si>
  <si>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</si>
  <si>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</si>
  <si>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</si>
  <si>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</si>
  <si>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</si>
  <si>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</si>
  <si>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</si>
  <si>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</si>
  <si>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</si>
  <si>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</si>
  <si>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</si>
  <si>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</si>
  <si>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</si>
  <si>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</si>
  <si>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</si>
  <si>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</si>
  <si>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</si>
  <si>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</si>
  <si>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</si>
  <si>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</si>
  <si>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</si>
  <si>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</si>
  <si>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</si>
  <si>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</si>
  <si>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</si>
  <si>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</si>
  <si>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</si>
  <si>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</si>
  <si>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</si>
  <si>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</si>
  <si>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</si>
  <si>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</si>
  <si>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</si>
  <si>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</si>
  <si>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</si>
  <si>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</si>
  <si>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</si>
  <si>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</si>
  <si>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</si>
  <si>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</si>
  <si>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</si>
  <si>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</si>
  <si>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</si>
  <si>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</si>
  <si>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</si>
  <si>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</si>
  <si>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</si>
  <si>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</si>
  <si>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</si>
  <si>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</si>
  <si>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</si>
  <si>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</si>
  <si>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</si>
  <si>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</si>
  <si>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</si>
  <si>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</si>
  <si>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</si>
  <si>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</si>
  <si>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</si>
  <si>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</si>
  <si>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</si>
  <si>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</si>
  <si>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</si>
  <si>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</si>
  <si>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</si>
  <si>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</si>
  <si>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</si>
  <si>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</si>
  <si>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</si>
  <si>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</si>
  <si>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</si>
  <si>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</si>
  <si>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</si>
  <si>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</si>
  <si>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</si>
  <si>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</si>
  <si>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</si>
  <si>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</si>
  <si>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</si>
  <si>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</si>
  <si>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</si>
  <si>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</si>
  <si>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</si>
  <si>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</si>
  <si>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</si>
  <si>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</si>
  <si>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</si>
  <si>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</si>
  <si>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</si>
  <si>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</si>
  <si>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</si>
  <si>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</si>
  <si>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</si>
  <si>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</si>
  <si>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</si>
  <si>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</si>
  <si>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</si>
  <si>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</si>
  <si>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</si>
  <si>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</si>
  <si>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</si>
  <si>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</si>
  <si>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</si>
  <si>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</si>
  <si>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</si>
  <si>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</si>
  <si>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</si>
  <si>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</si>
  <si>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</si>
  <si>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</si>
  <si>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</si>
  <si>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</si>
  <si>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</si>
  <si>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</si>
  <si>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</si>
  <si>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</si>
  <si>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</si>
  <si>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</si>
  <si>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</si>
  <si>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</si>
  <si>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</si>
  <si>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</si>
  <si>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</si>
  <si>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</si>
  <si>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</si>
  <si>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</si>
  <si>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</si>
  <si>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</si>
  <si>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</si>
  <si>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</si>
  <si>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</si>
  <si>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</si>
  <si>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</si>
  <si>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</si>
  <si>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</si>
  <si>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</si>
  <si>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</si>
  <si>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</si>
  <si>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</si>
  <si>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</si>
  <si>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</si>
  <si>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</si>
  <si>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</si>
  <si>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</si>
  <si>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</si>
  <si>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</si>
  <si>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</si>
  <si>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</si>
  <si>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</si>
  <si>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</si>
  <si>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</si>
  <si>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</si>
  <si>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</si>
  <si>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</si>
  <si>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</si>
  <si>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</si>
  <si>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</si>
  <si>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</si>
  <si>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</si>
  <si>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</si>
  <si>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</si>
  <si>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</si>
  <si>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</si>
  <si>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</si>
  <si>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</si>
  <si>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</si>
  <si>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</si>
  <si>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</si>
  <si>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</si>
  <si>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</si>
  <si>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</si>
  <si>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</si>
  <si>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</si>
  <si>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</si>
  <si>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</si>
  <si>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</si>
  <si>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</si>
  <si>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</si>
  <si>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</si>
  <si>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</si>
  <si>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</si>
  <si>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</si>
  <si>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</si>
  <si>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</si>
  <si>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</si>
  <si>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</si>
  <si>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</si>
  <si>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</si>
  <si>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</si>
  <si>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</si>
  <si>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</si>
  <si>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</si>
  <si>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</si>
  <si>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</si>
  <si>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</si>
  <si>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</si>
  <si>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</si>
  <si>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</si>
  <si>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</si>
  <si>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</si>
  <si>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</si>
  <si>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</si>
  <si>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</si>
  <si>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</si>
  <si>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</si>
  <si>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</si>
  <si>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</si>
  <si>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</si>
  <si>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</si>
  <si>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</si>
  <si>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</si>
  <si>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</si>
  <si>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</si>
  <si>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</si>
  <si>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شاراک 4431 تا 4418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</si>
  <si>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</si>
  <si>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</si>
  <si>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</si>
  <si>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</si>
  <si>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</si>
  <si>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</si>
  <si>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</si>
  <si>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</si>
  <si>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</si>
  <si>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</si>
  <si>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</si>
  <si>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</si>
  <si>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</si>
  <si>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</si>
  <si>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</si>
  <si>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</si>
  <si>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</si>
  <si>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شخارک 29 تا 3544.7 (تشویقی)</t>
  </si>
  <si>
    <t>شسپا 40 تا 2564 (تشویقی)</t>
  </si>
  <si>
    <t>شخارک 30 تا 3415 (تشویقی)</t>
  </si>
  <si>
    <t>شخارک 31 تا 3311.2 (تشویقی)</t>
  </si>
  <si>
    <t>شخارک 33 تا 3366.5 (تشویقی)</t>
  </si>
  <si>
    <t>وبانک 556 تا 286 (تشویقی)</t>
  </si>
  <si>
    <t>وتوسم 63 تا 180.8 (تشویقی)</t>
  </si>
  <si>
    <t>وبانک 597 تا 287 (تشویقی)</t>
  </si>
  <si>
    <t>شغدیر 197 تا 508 (تشویقی)</t>
  </si>
  <si>
    <t>شلرد 594 تا 169.1 (تشویقی)</t>
  </si>
  <si>
    <t>175.3-191.5</t>
  </si>
  <si>
    <t>پارس 432 تا 3237.1</t>
  </si>
  <si>
    <t>وبانک 8196 تا 284.7</t>
  </si>
  <si>
    <t>زعفران9808</t>
  </si>
  <si>
    <t>وغدیر 9 تا 165.7</t>
  </si>
  <si>
    <t>مستقیم</t>
  </si>
  <si>
    <t>معکوس</t>
  </si>
  <si>
    <t>درصد</t>
  </si>
  <si>
    <t>کامل کردن برنامه نسبتی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</si>
</sst>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7" sqref="F17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4585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4585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4589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4589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4596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4596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4601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4607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4607</v>
      </c>
      <c r="B11" s="18">
        <v>-1287000</v>
      </c>
      <c r="C11" s="18">
        <v>0</v>
      </c>
      <c r="D11" s="113">
        <f t="shared" si="0"/>
        <v>-1287000</v>
      </c>
      <c r="E11" s="19" t="s">
        <v>4608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4601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4603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4619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4512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4514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4516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4516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4516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4522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4536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4537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4537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4537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4541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4556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4556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4556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37234365</v>
      </c>
      <c r="C32" s="113">
        <f>SUM(C2:C31)</f>
        <v>0</v>
      </c>
      <c r="D32" s="113">
        <f>SUM(D2:D31)</f>
        <v>37234365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815427340</v>
      </c>
      <c r="H33" s="18">
        <f>SUM(H2:H31)</f>
        <v>0</v>
      </c>
      <c r="I33" s="18">
        <f>SUM(I2:I31)</f>
        <v>815427340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4609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4620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0" sqref="F28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996</v>
      </c>
      <c r="H2" s="36">
        <f>IF(B2&gt;0,1,0)</f>
        <v>1</v>
      </c>
      <c r="I2" s="11">
        <f>B2*(G2-H2)</f>
        <v>16616500</v>
      </c>
      <c r="J2" s="53">
        <f>C2*(G2-H2)</f>
        <v>16616500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995</v>
      </c>
      <c r="H3" s="36">
        <f t="shared" ref="H3:H66" si="2">IF(B3&gt;0,1,0)</f>
        <v>1</v>
      </c>
      <c r="I3" s="11">
        <f t="shared" ref="I3:I66" si="3">B3*(G3-H3)</f>
        <v>19780600000</v>
      </c>
      <c r="J3" s="53">
        <f t="shared" ref="J3:J66" si="4">C3*(G3-H3)</f>
        <v>11318678000</v>
      </c>
      <c r="K3" s="53">
        <f t="shared" ref="K3:K66" si="5">D3*(G3-H3)</f>
        <v>8461922000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995</v>
      </c>
      <c r="H4" s="36">
        <f t="shared" si="2"/>
        <v>0</v>
      </c>
      <c r="I4" s="11">
        <f t="shared" si="3"/>
        <v>0</v>
      </c>
      <c r="J4" s="53">
        <f t="shared" si="4"/>
        <v>8457500</v>
      </c>
      <c r="K4" s="53">
        <f t="shared" si="5"/>
        <v>-8457500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993</v>
      </c>
      <c r="H5" s="36">
        <f t="shared" si="2"/>
        <v>1</v>
      </c>
      <c r="I5" s="11">
        <f t="shared" si="3"/>
        <v>1984000000</v>
      </c>
      <c r="J5" s="53">
        <f t="shared" si="4"/>
        <v>0</v>
      </c>
      <c r="K5" s="53">
        <f t="shared" si="5"/>
        <v>1984000000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986</v>
      </c>
      <c r="H6" s="36">
        <f t="shared" si="2"/>
        <v>0</v>
      </c>
      <c r="I6" s="11">
        <f t="shared" si="3"/>
        <v>-4930000</v>
      </c>
      <c r="J6" s="53">
        <f t="shared" si="4"/>
        <v>0</v>
      </c>
      <c r="K6" s="53">
        <f t="shared" si="5"/>
        <v>-4930000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982</v>
      </c>
      <c r="H7" s="36">
        <f t="shared" si="2"/>
        <v>0</v>
      </c>
      <c r="I7" s="11">
        <f t="shared" si="3"/>
        <v>-1178891000</v>
      </c>
      <c r="J7" s="53">
        <f t="shared" si="4"/>
        <v>0</v>
      </c>
      <c r="K7" s="53">
        <f t="shared" si="5"/>
        <v>-1178891000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981</v>
      </c>
      <c r="H8" s="36">
        <f t="shared" si="2"/>
        <v>0</v>
      </c>
      <c r="I8" s="11">
        <f t="shared" si="3"/>
        <v>-196200000</v>
      </c>
      <c r="J8" s="53">
        <f t="shared" si="4"/>
        <v>0</v>
      </c>
      <c r="K8" s="53">
        <f t="shared" si="5"/>
        <v>-196200000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979</v>
      </c>
      <c r="H9" s="36">
        <f t="shared" si="2"/>
        <v>0</v>
      </c>
      <c r="I9" s="11">
        <f t="shared" si="3"/>
        <v>-690684500</v>
      </c>
      <c r="J9" s="53">
        <f t="shared" si="4"/>
        <v>0</v>
      </c>
      <c r="K9" s="53">
        <f t="shared" si="5"/>
        <v>-690684500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970</v>
      </c>
      <c r="H10" s="36">
        <f t="shared" si="2"/>
        <v>0</v>
      </c>
      <c r="I10" s="11">
        <f t="shared" si="3"/>
        <v>-194000000</v>
      </c>
      <c r="J10" s="53">
        <f t="shared" si="4"/>
        <v>0</v>
      </c>
      <c r="K10" s="53">
        <f t="shared" si="5"/>
        <v>-194000000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970</v>
      </c>
      <c r="H11" s="36">
        <f t="shared" si="2"/>
        <v>1</v>
      </c>
      <c r="I11" s="11">
        <f t="shared" si="3"/>
        <v>969000000</v>
      </c>
      <c r="J11" s="53">
        <f t="shared" si="4"/>
        <v>0</v>
      </c>
      <c r="K11" s="53">
        <f t="shared" si="5"/>
        <v>969000000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966</v>
      </c>
      <c r="H12" s="36">
        <f t="shared" si="2"/>
        <v>0</v>
      </c>
      <c r="I12" s="11">
        <f t="shared" si="3"/>
        <v>-289800000</v>
      </c>
      <c r="J12" s="53">
        <f t="shared" si="4"/>
        <v>0</v>
      </c>
      <c r="K12" s="53">
        <f t="shared" si="5"/>
        <v>-289800000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961</v>
      </c>
      <c r="H13" s="36">
        <f t="shared" si="2"/>
        <v>0</v>
      </c>
      <c r="I13" s="11">
        <f t="shared" si="3"/>
        <v>-59582000</v>
      </c>
      <c r="J13" s="53">
        <f t="shared" si="4"/>
        <v>0</v>
      </c>
      <c r="K13" s="53">
        <f t="shared" si="5"/>
        <v>-59582000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961</v>
      </c>
      <c r="H14" s="36">
        <f t="shared" si="2"/>
        <v>1</v>
      </c>
      <c r="I14" s="11">
        <f t="shared" si="3"/>
        <v>1920000000</v>
      </c>
      <c r="J14" s="53">
        <f t="shared" si="4"/>
        <v>0</v>
      </c>
      <c r="K14" s="53">
        <f t="shared" si="5"/>
        <v>1920000000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960</v>
      </c>
      <c r="H15" s="36">
        <f t="shared" si="2"/>
        <v>1</v>
      </c>
      <c r="I15" s="11">
        <f t="shared" si="3"/>
        <v>1726200000</v>
      </c>
      <c r="J15" s="53">
        <f t="shared" si="4"/>
        <v>0</v>
      </c>
      <c r="K15" s="53">
        <f t="shared" si="5"/>
        <v>1726200000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960</v>
      </c>
      <c r="H16" s="36">
        <f t="shared" si="2"/>
        <v>0</v>
      </c>
      <c r="I16" s="11">
        <f t="shared" si="3"/>
        <v>-192000000</v>
      </c>
      <c r="J16" s="53">
        <f t="shared" si="4"/>
        <v>0</v>
      </c>
      <c r="K16" s="53">
        <f t="shared" si="5"/>
        <v>-192000000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956</v>
      </c>
      <c r="H17" s="36">
        <f t="shared" si="2"/>
        <v>0</v>
      </c>
      <c r="I17" s="11">
        <f t="shared" si="3"/>
        <v>-1912000000</v>
      </c>
      <c r="J17" s="53">
        <f t="shared" si="4"/>
        <v>0</v>
      </c>
      <c r="K17" s="53">
        <f t="shared" si="5"/>
        <v>-1912000000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955</v>
      </c>
      <c r="H18" s="36">
        <f t="shared" si="2"/>
        <v>0</v>
      </c>
      <c r="I18" s="11">
        <f t="shared" si="3"/>
        <v>-286500000</v>
      </c>
      <c r="J18" s="53">
        <f t="shared" si="4"/>
        <v>0</v>
      </c>
      <c r="K18" s="53">
        <f t="shared" si="5"/>
        <v>-286500000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954</v>
      </c>
      <c r="H19" s="36">
        <f t="shared" si="2"/>
        <v>0</v>
      </c>
      <c r="I19" s="11">
        <f t="shared" si="3"/>
        <v>-190800000</v>
      </c>
      <c r="J19" s="53">
        <f t="shared" si="4"/>
        <v>0</v>
      </c>
      <c r="K19" s="53">
        <f t="shared" si="5"/>
        <v>-190800000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952</v>
      </c>
      <c r="H20" s="36">
        <f t="shared" si="2"/>
        <v>1</v>
      </c>
      <c r="I20" s="11">
        <f t="shared" si="3"/>
        <v>257805639</v>
      </c>
      <c r="J20" s="53">
        <f t="shared" si="4"/>
        <v>140226852</v>
      </c>
      <c r="K20" s="53">
        <f t="shared" si="5"/>
        <v>117578787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950</v>
      </c>
      <c r="H21" s="36">
        <f t="shared" si="2"/>
        <v>0</v>
      </c>
      <c r="I21" s="11">
        <f t="shared" si="3"/>
        <v>-1430415000</v>
      </c>
      <c r="J21" s="53">
        <f t="shared" si="4"/>
        <v>0</v>
      </c>
      <c r="K21" s="53">
        <f t="shared" si="5"/>
        <v>-1430415000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947</v>
      </c>
      <c r="H22" s="36">
        <f t="shared" si="2"/>
        <v>1</v>
      </c>
      <c r="I22" s="11">
        <f t="shared" si="3"/>
        <v>2838000000</v>
      </c>
      <c r="J22" s="53">
        <f t="shared" si="4"/>
        <v>0</v>
      </c>
      <c r="K22" s="53">
        <f t="shared" si="5"/>
        <v>2838000000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946</v>
      </c>
      <c r="H23" s="36">
        <f t="shared" si="2"/>
        <v>1</v>
      </c>
      <c r="I23" s="11">
        <f t="shared" si="3"/>
        <v>945000000</v>
      </c>
      <c r="J23" s="53">
        <f t="shared" si="4"/>
        <v>0</v>
      </c>
      <c r="K23" s="53">
        <f t="shared" si="5"/>
        <v>945000000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945</v>
      </c>
      <c r="H24" s="36">
        <f t="shared" si="2"/>
        <v>0</v>
      </c>
      <c r="I24" s="11">
        <f t="shared" si="3"/>
        <v>-2835850500</v>
      </c>
      <c r="J24" s="53">
        <f t="shared" si="4"/>
        <v>0</v>
      </c>
      <c r="K24" s="53">
        <f t="shared" si="5"/>
        <v>-2835850500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930</v>
      </c>
      <c r="H25" s="36">
        <f t="shared" si="2"/>
        <v>1</v>
      </c>
      <c r="I25" s="11">
        <f t="shared" si="3"/>
        <v>1393500000</v>
      </c>
      <c r="J25" s="53">
        <f t="shared" si="4"/>
        <v>0</v>
      </c>
      <c r="K25" s="53">
        <f t="shared" si="5"/>
        <v>1393500000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922</v>
      </c>
      <c r="H26" s="36">
        <f t="shared" si="2"/>
        <v>0</v>
      </c>
      <c r="I26" s="11">
        <f t="shared" si="3"/>
        <v>-151208000</v>
      </c>
      <c r="J26" s="53">
        <f t="shared" si="4"/>
        <v>0</v>
      </c>
      <c r="K26" s="53">
        <f t="shared" si="5"/>
        <v>-151208000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921</v>
      </c>
      <c r="H27" s="36">
        <f t="shared" si="2"/>
        <v>1</v>
      </c>
      <c r="I27" s="11">
        <f t="shared" si="3"/>
        <v>183441560</v>
      </c>
      <c r="J27" s="53">
        <f t="shared" si="4"/>
        <v>98819960</v>
      </c>
      <c r="K27" s="53">
        <f t="shared" si="5"/>
        <v>84621600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919</v>
      </c>
      <c r="H28" s="36">
        <f t="shared" si="2"/>
        <v>0</v>
      </c>
      <c r="I28" s="11">
        <f t="shared" si="3"/>
        <v>-203099000</v>
      </c>
      <c r="J28" s="53">
        <f t="shared" si="4"/>
        <v>-203099000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919</v>
      </c>
      <c r="H29" s="36">
        <f t="shared" si="2"/>
        <v>0</v>
      </c>
      <c r="I29" s="11">
        <f t="shared" si="3"/>
        <v>-459959500</v>
      </c>
      <c r="J29" s="53">
        <f t="shared" si="4"/>
        <v>0</v>
      </c>
      <c r="K29" s="53">
        <f t="shared" si="5"/>
        <v>-459959500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919</v>
      </c>
      <c r="H30" s="36">
        <f t="shared" si="2"/>
        <v>0</v>
      </c>
      <c r="I30" s="11">
        <f t="shared" si="3"/>
        <v>-13785000000</v>
      </c>
      <c r="J30" s="53">
        <f t="shared" si="4"/>
        <v>-13785000000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902</v>
      </c>
      <c r="H31" s="36">
        <f t="shared" si="2"/>
        <v>0</v>
      </c>
      <c r="I31" s="11">
        <f t="shared" si="3"/>
        <v>-2715831800</v>
      </c>
      <c r="J31" s="53">
        <f t="shared" si="4"/>
        <v>0</v>
      </c>
      <c r="K31" s="53">
        <f t="shared" si="5"/>
        <v>-2715831800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900</v>
      </c>
      <c r="H32" s="36">
        <f t="shared" si="2"/>
        <v>0</v>
      </c>
      <c r="I32" s="11">
        <f t="shared" si="3"/>
        <v>-2705310000</v>
      </c>
      <c r="J32" s="53">
        <f t="shared" si="4"/>
        <v>0</v>
      </c>
      <c r="K32" s="53">
        <f t="shared" si="5"/>
        <v>-2705310000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899</v>
      </c>
      <c r="H33" s="36">
        <f t="shared" si="2"/>
        <v>0</v>
      </c>
      <c r="I33" s="11">
        <f t="shared" si="3"/>
        <v>-805054500</v>
      </c>
      <c r="J33" s="53">
        <f t="shared" si="4"/>
        <v>0</v>
      </c>
      <c r="K33" s="53">
        <f t="shared" si="5"/>
        <v>-805054500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899</v>
      </c>
      <c r="H34" s="36">
        <f t="shared" si="2"/>
        <v>0</v>
      </c>
      <c r="I34" s="11">
        <f t="shared" si="3"/>
        <v>0</v>
      </c>
      <c r="J34" s="53">
        <f t="shared" si="4"/>
        <v>899000000</v>
      </c>
      <c r="K34" s="53">
        <f t="shared" si="5"/>
        <v>-899000000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890</v>
      </c>
      <c r="H35" s="36">
        <f t="shared" si="2"/>
        <v>1</v>
      </c>
      <c r="I35" s="11">
        <f t="shared" si="3"/>
        <v>46647608</v>
      </c>
      <c r="J35" s="53">
        <f t="shared" si="4"/>
        <v>-19258407</v>
      </c>
      <c r="K35" s="53">
        <f t="shared" si="5"/>
        <v>65906015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890</v>
      </c>
      <c r="H36" s="36">
        <f t="shared" si="2"/>
        <v>0</v>
      </c>
      <c r="I36" s="11">
        <f t="shared" si="3"/>
        <v>0</v>
      </c>
      <c r="J36" s="53">
        <f t="shared" si="4"/>
        <v>19280070</v>
      </c>
      <c r="K36" s="53">
        <f t="shared" si="5"/>
        <v>-19280070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880</v>
      </c>
      <c r="H37" s="36">
        <f t="shared" si="2"/>
        <v>0</v>
      </c>
      <c r="I37" s="11">
        <f t="shared" si="3"/>
        <v>-48400000</v>
      </c>
      <c r="J37" s="53">
        <f t="shared" si="4"/>
        <v>0</v>
      </c>
      <c r="K37" s="53">
        <f t="shared" si="5"/>
        <v>-48400000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879</v>
      </c>
      <c r="H38" s="36">
        <f t="shared" si="2"/>
        <v>1</v>
      </c>
      <c r="I38" s="11">
        <f t="shared" si="3"/>
        <v>2634000000</v>
      </c>
      <c r="J38" s="53">
        <f t="shared" si="4"/>
        <v>2634000000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878</v>
      </c>
      <c r="H39" s="36">
        <f t="shared" si="2"/>
        <v>1</v>
      </c>
      <c r="I39" s="11">
        <f t="shared" si="3"/>
        <v>2192500000</v>
      </c>
      <c r="J39" s="53">
        <f t="shared" si="4"/>
        <v>2192500000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878</v>
      </c>
      <c r="H40" s="36">
        <f t="shared" si="2"/>
        <v>0</v>
      </c>
      <c r="I40" s="11">
        <f t="shared" si="3"/>
        <v>-43900000</v>
      </c>
      <c r="J40" s="53">
        <f t="shared" si="4"/>
        <v>0</v>
      </c>
      <c r="K40" s="53">
        <f t="shared" si="5"/>
        <v>-43900000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878</v>
      </c>
      <c r="H41" s="36">
        <f t="shared" si="2"/>
        <v>1</v>
      </c>
      <c r="I41" s="11">
        <f t="shared" si="3"/>
        <v>2631000000</v>
      </c>
      <c r="J41" s="53">
        <f t="shared" si="4"/>
        <v>0</v>
      </c>
      <c r="K41" s="53">
        <f t="shared" si="5"/>
        <v>2631000000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875</v>
      </c>
      <c r="H42" s="36">
        <f t="shared" si="2"/>
        <v>0</v>
      </c>
      <c r="I42" s="11">
        <f t="shared" si="3"/>
        <v>-78050000</v>
      </c>
      <c r="J42" s="53">
        <f t="shared" si="4"/>
        <v>0</v>
      </c>
      <c r="K42" s="53">
        <f t="shared" si="5"/>
        <v>-78050000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871</v>
      </c>
      <c r="H43" s="36">
        <f t="shared" si="2"/>
        <v>0</v>
      </c>
      <c r="I43" s="11">
        <f t="shared" si="3"/>
        <v>-174200000</v>
      </c>
      <c r="J43" s="53">
        <f t="shared" si="4"/>
        <v>0</v>
      </c>
      <c r="K43" s="53">
        <f t="shared" si="5"/>
        <v>-174200000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869</v>
      </c>
      <c r="H44" s="36">
        <f t="shared" si="2"/>
        <v>0</v>
      </c>
      <c r="I44" s="11">
        <f t="shared" si="3"/>
        <v>-173800000</v>
      </c>
      <c r="J44" s="53">
        <f t="shared" si="4"/>
        <v>0</v>
      </c>
      <c r="K44" s="53">
        <f t="shared" si="5"/>
        <v>-173800000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869</v>
      </c>
      <c r="H45" s="36">
        <f t="shared" si="2"/>
        <v>0</v>
      </c>
      <c r="I45" s="11">
        <f t="shared" si="3"/>
        <v>-486640000</v>
      </c>
      <c r="J45" s="53">
        <f t="shared" si="4"/>
        <v>0</v>
      </c>
      <c r="K45" s="53">
        <f t="shared" si="5"/>
        <v>-486640000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865</v>
      </c>
      <c r="H46" s="36">
        <f t="shared" si="2"/>
        <v>0</v>
      </c>
      <c r="I46" s="11">
        <f t="shared" si="3"/>
        <v>-610257500</v>
      </c>
      <c r="J46" s="53">
        <f t="shared" si="4"/>
        <v>0</v>
      </c>
      <c r="K46" s="53">
        <f t="shared" si="5"/>
        <v>-610257500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859</v>
      </c>
      <c r="H47" s="36">
        <f t="shared" si="2"/>
        <v>1</v>
      </c>
      <c r="I47" s="11">
        <f t="shared" si="3"/>
        <v>35353032</v>
      </c>
      <c r="J47" s="53">
        <f t="shared" si="4"/>
        <v>5759754</v>
      </c>
      <c r="K47" s="53">
        <f t="shared" si="5"/>
        <v>29593278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859</v>
      </c>
      <c r="H48" s="36">
        <f t="shared" si="2"/>
        <v>1</v>
      </c>
      <c r="I48" s="11">
        <f t="shared" si="3"/>
        <v>1462632600</v>
      </c>
      <c r="J48" s="53">
        <f t="shared" si="4"/>
        <v>0</v>
      </c>
      <c r="K48" s="53">
        <f t="shared" si="5"/>
        <v>1462632600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850</v>
      </c>
      <c r="H49" s="36">
        <f t="shared" si="2"/>
        <v>0</v>
      </c>
      <c r="I49" s="11">
        <f t="shared" si="3"/>
        <v>-131750000</v>
      </c>
      <c r="J49" s="53">
        <f t="shared" si="4"/>
        <v>0</v>
      </c>
      <c r="K49" s="53">
        <f t="shared" si="5"/>
        <v>-131750000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850</v>
      </c>
      <c r="H50" s="36">
        <f t="shared" si="2"/>
        <v>0</v>
      </c>
      <c r="I50" s="11">
        <f t="shared" si="3"/>
        <v>-117300000</v>
      </c>
      <c r="J50" s="53">
        <f t="shared" si="4"/>
        <v>0</v>
      </c>
      <c r="K50" s="53">
        <f t="shared" si="5"/>
        <v>-117300000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850</v>
      </c>
      <c r="H51" s="36">
        <f t="shared" si="2"/>
        <v>0</v>
      </c>
      <c r="I51" s="11">
        <f t="shared" si="3"/>
        <v>-629000000</v>
      </c>
      <c r="J51" s="53">
        <f t="shared" si="4"/>
        <v>0</v>
      </c>
      <c r="K51" s="53">
        <f t="shared" si="5"/>
        <v>-629000000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850</v>
      </c>
      <c r="H52" s="36">
        <f t="shared" si="2"/>
        <v>0</v>
      </c>
      <c r="I52" s="11">
        <f t="shared" si="3"/>
        <v>-170000000</v>
      </c>
      <c r="J52" s="53">
        <f t="shared" si="4"/>
        <v>0</v>
      </c>
      <c r="K52" s="53">
        <f t="shared" si="5"/>
        <v>-170000000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849</v>
      </c>
      <c r="H53" s="36">
        <f t="shared" si="2"/>
        <v>0</v>
      </c>
      <c r="I53" s="11">
        <f t="shared" si="3"/>
        <v>-895695000</v>
      </c>
      <c r="J53" s="53">
        <f t="shared" si="4"/>
        <v>0</v>
      </c>
      <c r="K53" s="53">
        <f t="shared" si="5"/>
        <v>-895695000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849</v>
      </c>
      <c r="H54" s="36">
        <f t="shared" si="2"/>
        <v>0</v>
      </c>
      <c r="I54" s="11">
        <f t="shared" si="3"/>
        <v>-169800000</v>
      </c>
      <c r="J54" s="53">
        <f t="shared" si="4"/>
        <v>0</v>
      </c>
      <c r="K54" s="53">
        <f t="shared" si="5"/>
        <v>-169800000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849</v>
      </c>
      <c r="H55" s="36">
        <f t="shared" si="2"/>
        <v>0</v>
      </c>
      <c r="I55" s="11">
        <f t="shared" si="3"/>
        <v>-849424500</v>
      </c>
      <c r="J55" s="53">
        <f t="shared" si="4"/>
        <v>0</v>
      </c>
      <c r="K55" s="53">
        <f t="shared" si="5"/>
        <v>-849424500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849</v>
      </c>
      <c r="H56" s="36">
        <f t="shared" si="2"/>
        <v>0</v>
      </c>
      <c r="I56" s="11">
        <f t="shared" si="3"/>
        <v>-32262000</v>
      </c>
      <c r="J56" s="53">
        <f t="shared" si="4"/>
        <v>0</v>
      </c>
      <c r="K56" s="53">
        <f t="shared" si="5"/>
        <v>-32262000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849</v>
      </c>
      <c r="H57" s="36">
        <f t="shared" si="2"/>
        <v>0</v>
      </c>
      <c r="I57" s="11">
        <f t="shared" si="3"/>
        <v>-89145000</v>
      </c>
      <c r="J57" s="53">
        <f t="shared" si="4"/>
        <v>0</v>
      </c>
      <c r="K57" s="53">
        <f t="shared" si="5"/>
        <v>-89145000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849</v>
      </c>
      <c r="H58" s="36">
        <f t="shared" si="2"/>
        <v>0</v>
      </c>
      <c r="I58" s="11">
        <f t="shared" si="3"/>
        <v>-50940000</v>
      </c>
      <c r="J58" s="53">
        <f t="shared" si="4"/>
        <v>0</v>
      </c>
      <c r="K58" s="53">
        <f t="shared" si="5"/>
        <v>-50940000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846</v>
      </c>
      <c r="H59" s="36">
        <f t="shared" si="2"/>
        <v>1</v>
      </c>
      <c r="I59" s="11">
        <f t="shared" si="3"/>
        <v>845000000</v>
      </c>
      <c r="J59" s="53">
        <f t="shared" si="4"/>
        <v>845000000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845</v>
      </c>
      <c r="H60" s="36">
        <f t="shared" si="2"/>
        <v>1</v>
      </c>
      <c r="I60" s="11">
        <f t="shared" si="3"/>
        <v>2954000000</v>
      </c>
      <c r="J60" s="53">
        <f t="shared" si="4"/>
        <v>2954000000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843</v>
      </c>
      <c r="H61" s="36">
        <f t="shared" si="2"/>
        <v>1</v>
      </c>
      <c r="I61" s="11">
        <f t="shared" si="3"/>
        <v>842000000</v>
      </c>
      <c r="J61" s="53">
        <f t="shared" si="4"/>
        <v>842000000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843</v>
      </c>
      <c r="H62" s="36">
        <f t="shared" si="2"/>
        <v>1</v>
      </c>
      <c r="I62" s="11">
        <f t="shared" si="3"/>
        <v>2526000000</v>
      </c>
      <c r="J62" s="53">
        <f t="shared" si="4"/>
        <v>2526000000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841</v>
      </c>
      <c r="H63" s="36">
        <f t="shared" si="2"/>
        <v>0</v>
      </c>
      <c r="I63" s="11">
        <f t="shared" si="3"/>
        <v>-168200000</v>
      </c>
      <c r="J63" s="53">
        <f t="shared" si="4"/>
        <v>0</v>
      </c>
      <c r="K63" s="53">
        <f t="shared" si="5"/>
        <v>-168200000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836</v>
      </c>
      <c r="H64" s="36">
        <f t="shared" si="2"/>
        <v>0</v>
      </c>
      <c r="I64" s="11">
        <f t="shared" si="3"/>
        <v>-41800000</v>
      </c>
      <c r="J64" s="53">
        <f t="shared" si="4"/>
        <v>0</v>
      </c>
      <c r="K64" s="53">
        <f t="shared" si="5"/>
        <v>-41800000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832</v>
      </c>
      <c r="H65" s="36">
        <f t="shared" si="2"/>
        <v>0</v>
      </c>
      <c r="I65" s="11">
        <f t="shared" si="3"/>
        <v>-166400000</v>
      </c>
      <c r="J65" s="53">
        <f t="shared" si="4"/>
        <v>0</v>
      </c>
      <c r="K65" s="53">
        <f t="shared" si="5"/>
        <v>-166400000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829</v>
      </c>
      <c r="H66" s="36">
        <f t="shared" si="2"/>
        <v>0</v>
      </c>
      <c r="I66" s="11">
        <f t="shared" si="3"/>
        <v>-140930000</v>
      </c>
      <c r="J66" s="53">
        <f t="shared" si="4"/>
        <v>0</v>
      </c>
      <c r="K66" s="53">
        <f t="shared" si="5"/>
        <v>-140930000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828</v>
      </c>
      <c r="H67" s="36">
        <f t="shared" ref="H67:H131" si="8">IF(B67&gt;0,1,0)</f>
        <v>1</v>
      </c>
      <c r="I67" s="11">
        <f t="shared" ref="I67:I119" si="9">B67*(G67-H67)</f>
        <v>75525775</v>
      </c>
      <c r="J67" s="53">
        <f t="shared" ref="J67:J131" si="10">C67*(G67-H67)</f>
        <v>54352921</v>
      </c>
      <c r="K67" s="53">
        <f t="shared" ref="K67:K131" si="11">D67*(G67-H67)</f>
        <v>21172854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810</v>
      </c>
      <c r="H68" s="36">
        <f t="shared" si="8"/>
        <v>0</v>
      </c>
      <c r="I68" s="11">
        <f t="shared" si="9"/>
        <v>-117450000</v>
      </c>
      <c r="J68" s="53">
        <f t="shared" si="10"/>
        <v>0</v>
      </c>
      <c r="K68" s="53">
        <f t="shared" si="11"/>
        <v>-117450000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803</v>
      </c>
      <c r="H69" s="36">
        <f t="shared" si="8"/>
        <v>1</v>
      </c>
      <c r="I69" s="11">
        <f t="shared" si="9"/>
        <v>785960000</v>
      </c>
      <c r="J69" s="53">
        <f t="shared" si="10"/>
        <v>0</v>
      </c>
      <c r="K69" s="53">
        <f t="shared" si="11"/>
        <v>785960000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800</v>
      </c>
      <c r="H70" s="36">
        <f t="shared" si="8"/>
        <v>0</v>
      </c>
      <c r="I70" s="11">
        <f t="shared" si="9"/>
        <v>-36800000</v>
      </c>
      <c r="J70" s="53">
        <f t="shared" si="10"/>
        <v>0</v>
      </c>
      <c r="K70" s="53">
        <f t="shared" si="11"/>
        <v>-36800000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798</v>
      </c>
      <c r="H71" s="36">
        <f t="shared" si="8"/>
        <v>1</v>
      </c>
      <c r="I71" s="11">
        <f t="shared" si="9"/>
        <v>91924386</v>
      </c>
      <c r="J71" s="53">
        <f t="shared" si="10"/>
        <v>82738164</v>
      </c>
      <c r="K71" s="53">
        <f t="shared" si="11"/>
        <v>9186222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797</v>
      </c>
      <c r="H72" s="36">
        <f t="shared" si="8"/>
        <v>0</v>
      </c>
      <c r="I72" s="11">
        <f t="shared" si="9"/>
        <v>-121119293</v>
      </c>
      <c r="J72" s="53">
        <f t="shared" si="10"/>
        <v>0</v>
      </c>
      <c r="K72" s="53">
        <f t="shared" si="11"/>
        <v>-121119293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796</v>
      </c>
      <c r="H73" s="36">
        <f t="shared" si="8"/>
        <v>0</v>
      </c>
      <c r="I73" s="11">
        <f t="shared" si="9"/>
        <v>-641178000</v>
      </c>
      <c r="J73" s="53">
        <f t="shared" si="10"/>
        <v>0</v>
      </c>
      <c r="K73" s="53">
        <f t="shared" si="11"/>
        <v>-641178000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789</v>
      </c>
      <c r="H74" s="36">
        <f t="shared" si="8"/>
        <v>1</v>
      </c>
      <c r="I74" s="11">
        <f t="shared" si="9"/>
        <v>5512060000</v>
      </c>
      <c r="J74" s="53">
        <f t="shared" si="10"/>
        <v>0</v>
      </c>
      <c r="K74" s="53">
        <f t="shared" si="11"/>
        <v>5512060000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788</v>
      </c>
      <c r="H75" s="36">
        <f t="shared" si="8"/>
        <v>1</v>
      </c>
      <c r="I75" s="11">
        <f t="shared" si="9"/>
        <v>2361000000</v>
      </c>
      <c r="J75" s="53">
        <f t="shared" si="10"/>
        <v>0</v>
      </c>
      <c r="K75" s="53">
        <f t="shared" si="11"/>
        <v>2361000000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786</v>
      </c>
      <c r="H76" s="36">
        <f t="shared" si="8"/>
        <v>1</v>
      </c>
      <c r="I76" s="11">
        <f t="shared" si="9"/>
        <v>2355000000</v>
      </c>
      <c r="J76" s="53">
        <f t="shared" si="10"/>
        <v>0</v>
      </c>
      <c r="K76" s="53">
        <f t="shared" si="11"/>
        <v>2355000000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785</v>
      </c>
      <c r="H77" s="36">
        <f t="shared" si="8"/>
        <v>1</v>
      </c>
      <c r="I77" s="11">
        <f t="shared" si="9"/>
        <v>2352000000</v>
      </c>
      <c r="J77" s="53">
        <f t="shared" si="10"/>
        <v>0</v>
      </c>
      <c r="K77" s="53">
        <f t="shared" si="11"/>
        <v>2352000000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784</v>
      </c>
      <c r="H78" s="36">
        <f t="shared" si="8"/>
        <v>0</v>
      </c>
      <c r="I78" s="11">
        <f t="shared" si="9"/>
        <v>-2508800000</v>
      </c>
      <c r="J78" s="53">
        <f t="shared" si="10"/>
        <v>-2508800000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783</v>
      </c>
      <c r="H79" s="36">
        <f t="shared" si="8"/>
        <v>0</v>
      </c>
      <c r="I79" s="11">
        <f t="shared" si="9"/>
        <v>-626400000</v>
      </c>
      <c r="J79" s="53">
        <f t="shared" si="10"/>
        <v>-626400000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782</v>
      </c>
      <c r="H80" s="36">
        <f t="shared" si="8"/>
        <v>0</v>
      </c>
      <c r="I80" s="11">
        <f t="shared" si="9"/>
        <v>-37843326</v>
      </c>
      <c r="J80" s="53">
        <f t="shared" si="10"/>
        <v>0</v>
      </c>
      <c r="K80" s="53">
        <f t="shared" si="11"/>
        <v>-37843326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781</v>
      </c>
      <c r="H81" s="36">
        <f t="shared" si="8"/>
        <v>0</v>
      </c>
      <c r="I81" s="11">
        <f t="shared" si="9"/>
        <v>-109340000</v>
      </c>
      <c r="J81" s="53">
        <f t="shared" si="10"/>
        <v>0</v>
      </c>
      <c r="K81" s="53">
        <f t="shared" si="11"/>
        <v>-109340000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780</v>
      </c>
      <c r="H82" s="36">
        <f t="shared" si="8"/>
        <v>0</v>
      </c>
      <c r="I82" s="11">
        <f t="shared" si="9"/>
        <v>-195000000</v>
      </c>
      <c r="J82" s="53">
        <f t="shared" si="10"/>
        <v>0</v>
      </c>
      <c r="K82" s="53">
        <f t="shared" si="11"/>
        <v>-195000000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779</v>
      </c>
      <c r="H83" s="36">
        <f t="shared" si="8"/>
        <v>0</v>
      </c>
      <c r="I83" s="11">
        <f t="shared" si="9"/>
        <v>-155800000</v>
      </c>
      <c r="J83" s="53">
        <f t="shared" si="10"/>
        <v>0</v>
      </c>
      <c r="K83" s="53">
        <f t="shared" si="11"/>
        <v>-155800000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776</v>
      </c>
      <c r="H84" s="36">
        <f t="shared" si="8"/>
        <v>1</v>
      </c>
      <c r="I84" s="11">
        <f t="shared" si="9"/>
        <v>1267280000</v>
      </c>
      <c r="J84" s="53">
        <f t="shared" si="10"/>
        <v>0</v>
      </c>
      <c r="K84" s="53">
        <f t="shared" si="11"/>
        <v>1267280000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772</v>
      </c>
      <c r="H85" s="36">
        <f t="shared" si="8"/>
        <v>1</v>
      </c>
      <c r="I85" s="11">
        <f t="shared" si="9"/>
        <v>1927500000</v>
      </c>
      <c r="J85" s="53">
        <f t="shared" si="10"/>
        <v>0</v>
      </c>
      <c r="K85" s="53">
        <f t="shared" si="11"/>
        <v>1927500000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768</v>
      </c>
      <c r="H86" s="36">
        <f t="shared" si="8"/>
        <v>1</v>
      </c>
      <c r="I86" s="11">
        <f t="shared" si="9"/>
        <v>142892100</v>
      </c>
      <c r="J86" s="53">
        <f t="shared" si="10"/>
        <v>65156650</v>
      </c>
      <c r="K86" s="53">
        <f t="shared" si="11"/>
        <v>77735450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765</v>
      </c>
      <c r="H87" s="36">
        <f t="shared" si="8"/>
        <v>0</v>
      </c>
      <c r="I87" s="11">
        <f t="shared" si="9"/>
        <v>-153000000</v>
      </c>
      <c r="J87" s="53">
        <f t="shared" si="10"/>
        <v>0</v>
      </c>
      <c r="K87" s="53">
        <f t="shared" si="11"/>
        <v>-153000000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764</v>
      </c>
      <c r="H88" s="36">
        <f t="shared" si="8"/>
        <v>0</v>
      </c>
      <c r="I88" s="11">
        <f t="shared" si="9"/>
        <v>-90152000</v>
      </c>
      <c r="J88" s="53">
        <f t="shared" si="10"/>
        <v>-52716000</v>
      </c>
      <c r="K88" s="53">
        <f t="shared" si="11"/>
        <v>-37436000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756</v>
      </c>
      <c r="H89" s="36">
        <f t="shared" si="8"/>
        <v>0</v>
      </c>
      <c r="I89" s="11">
        <f t="shared" si="9"/>
        <v>-2419880400</v>
      </c>
      <c r="J89" s="53">
        <f t="shared" si="10"/>
        <v>0</v>
      </c>
      <c r="K89" s="53">
        <f t="shared" si="11"/>
        <v>-2419880400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755</v>
      </c>
      <c r="H90" s="36">
        <f t="shared" si="8"/>
        <v>0</v>
      </c>
      <c r="I90" s="11">
        <f t="shared" si="9"/>
        <v>-2416679500</v>
      </c>
      <c r="J90" s="53">
        <f t="shared" si="10"/>
        <v>0</v>
      </c>
      <c r="K90" s="53">
        <f t="shared" si="11"/>
        <v>-2416679500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754</v>
      </c>
      <c r="H91" s="36">
        <f t="shared" si="8"/>
        <v>0</v>
      </c>
      <c r="I91" s="11">
        <f t="shared" si="9"/>
        <v>-2413478600</v>
      </c>
      <c r="J91" s="53">
        <f t="shared" si="10"/>
        <v>0</v>
      </c>
      <c r="K91" s="53">
        <f t="shared" si="11"/>
        <v>-2413478600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753</v>
      </c>
      <c r="H92" s="36">
        <f t="shared" si="8"/>
        <v>0</v>
      </c>
      <c r="I92" s="11">
        <f t="shared" si="9"/>
        <v>-2410277700</v>
      </c>
      <c r="J92" s="53">
        <f t="shared" si="10"/>
        <v>0</v>
      </c>
      <c r="K92" s="53">
        <f t="shared" si="11"/>
        <v>-2410277700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752</v>
      </c>
      <c r="H93" s="36">
        <f t="shared" si="8"/>
        <v>0</v>
      </c>
      <c r="I93" s="11">
        <f t="shared" si="9"/>
        <v>-2407076800</v>
      </c>
      <c r="J93" s="53">
        <f t="shared" si="10"/>
        <v>0</v>
      </c>
      <c r="K93" s="53">
        <f t="shared" si="11"/>
        <v>-2407076800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751</v>
      </c>
      <c r="H94" s="36">
        <f t="shared" si="8"/>
        <v>0</v>
      </c>
      <c r="I94" s="11">
        <f t="shared" si="9"/>
        <v>-2403875900</v>
      </c>
      <c r="J94" s="53">
        <f t="shared" si="10"/>
        <v>0</v>
      </c>
      <c r="K94" s="53">
        <f t="shared" si="11"/>
        <v>-2403875900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749</v>
      </c>
      <c r="H95" s="36">
        <f t="shared" si="8"/>
        <v>0</v>
      </c>
      <c r="I95" s="11">
        <f t="shared" si="9"/>
        <v>-896250404</v>
      </c>
      <c r="J95" s="53">
        <f t="shared" si="10"/>
        <v>0</v>
      </c>
      <c r="K95" s="53">
        <f t="shared" si="11"/>
        <v>-896250404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739</v>
      </c>
      <c r="H96" s="36">
        <f t="shared" si="8"/>
        <v>0</v>
      </c>
      <c r="I96" s="11">
        <f t="shared" si="9"/>
        <v>-147800000</v>
      </c>
      <c r="J96" s="53">
        <f t="shared" si="10"/>
        <v>0</v>
      </c>
      <c r="K96" s="53">
        <f t="shared" si="11"/>
        <v>-147800000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738</v>
      </c>
      <c r="H97" s="36">
        <f t="shared" si="8"/>
        <v>1</v>
      </c>
      <c r="I97" s="11">
        <f t="shared" si="9"/>
        <v>117594246</v>
      </c>
      <c r="J97" s="53">
        <f t="shared" si="10"/>
        <v>50798462</v>
      </c>
      <c r="K97" s="53">
        <f t="shared" si="11"/>
        <v>66795784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733</v>
      </c>
      <c r="H98" s="36">
        <f t="shared" si="8"/>
        <v>1</v>
      </c>
      <c r="I98" s="11">
        <f t="shared" si="9"/>
        <v>83717376</v>
      </c>
      <c r="J98" s="53">
        <f t="shared" si="10"/>
        <v>0</v>
      </c>
      <c r="K98" s="53">
        <f t="shared" si="11"/>
        <v>83717376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730</v>
      </c>
      <c r="H99" s="36">
        <f t="shared" si="8"/>
        <v>0</v>
      </c>
      <c r="I99" s="11">
        <f t="shared" si="9"/>
        <v>-967250000</v>
      </c>
      <c r="J99" s="53">
        <f t="shared" si="10"/>
        <v>0</v>
      </c>
      <c r="K99" s="53">
        <f t="shared" si="11"/>
        <v>-967250000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725</v>
      </c>
      <c r="H100" s="36">
        <f t="shared" si="8"/>
        <v>1</v>
      </c>
      <c r="I100" s="11">
        <f t="shared" si="9"/>
        <v>959300000</v>
      </c>
      <c r="J100" s="53">
        <f t="shared" si="10"/>
        <v>0</v>
      </c>
      <c r="K100" s="53">
        <f t="shared" si="11"/>
        <v>959300000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708</v>
      </c>
      <c r="H101" s="36">
        <f t="shared" si="8"/>
        <v>1</v>
      </c>
      <c r="I101" s="11">
        <f t="shared" si="9"/>
        <v>47259415</v>
      </c>
      <c r="J101" s="53">
        <f t="shared" si="10"/>
        <v>47259415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705</v>
      </c>
      <c r="H102" s="36">
        <f t="shared" si="8"/>
        <v>1</v>
      </c>
      <c r="I102" s="11">
        <f t="shared" si="9"/>
        <v>2112000000</v>
      </c>
      <c r="J102" s="53">
        <f t="shared" si="10"/>
        <v>0</v>
      </c>
      <c r="K102" s="53">
        <f t="shared" si="11"/>
        <v>2112000000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698</v>
      </c>
      <c r="H103" s="36">
        <f t="shared" si="8"/>
        <v>0</v>
      </c>
      <c r="I103" s="11">
        <f t="shared" si="9"/>
        <v>-698000000</v>
      </c>
      <c r="J103" s="53">
        <f t="shared" si="10"/>
        <v>-698000000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688</v>
      </c>
      <c r="H104" s="36">
        <f t="shared" si="8"/>
        <v>1</v>
      </c>
      <c r="I104" s="11">
        <f t="shared" si="9"/>
        <v>2061000000</v>
      </c>
      <c r="J104" s="53">
        <f t="shared" si="10"/>
        <v>2061000000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687</v>
      </c>
      <c r="H105" s="36">
        <f t="shared" si="8"/>
        <v>1</v>
      </c>
      <c r="I105" s="11">
        <f t="shared" si="9"/>
        <v>768320000</v>
      </c>
      <c r="J105" s="53">
        <f t="shared" si="10"/>
        <v>768320000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687</v>
      </c>
      <c r="H106" s="36">
        <f t="shared" si="8"/>
        <v>0</v>
      </c>
      <c r="I106" s="11">
        <f t="shared" si="9"/>
        <v>-2061000000</v>
      </c>
      <c r="J106" s="53">
        <f t="shared" si="10"/>
        <v>0</v>
      </c>
      <c r="K106" s="53">
        <f t="shared" si="11"/>
        <v>-2061000000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678</v>
      </c>
      <c r="H107" s="36">
        <f t="shared" si="8"/>
        <v>1</v>
      </c>
      <c r="I107" s="11">
        <f t="shared" si="9"/>
        <v>61264438</v>
      </c>
      <c r="J107" s="53">
        <f t="shared" si="10"/>
        <v>50852855</v>
      </c>
      <c r="K107" s="53">
        <f t="shared" si="11"/>
        <v>10411583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676</v>
      </c>
      <c r="H108" s="36">
        <f t="shared" si="8"/>
        <v>0</v>
      </c>
      <c r="I108" s="11">
        <f t="shared" si="9"/>
        <v>-1149673200</v>
      </c>
      <c r="J108" s="53">
        <f t="shared" si="10"/>
        <v>0</v>
      </c>
      <c r="K108" s="53">
        <f t="shared" si="11"/>
        <v>-1149673200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672</v>
      </c>
      <c r="H109" s="36">
        <f t="shared" si="8"/>
        <v>0</v>
      </c>
      <c r="I109" s="11">
        <f t="shared" si="9"/>
        <v>-672336000</v>
      </c>
      <c r="J109" s="53">
        <f t="shared" si="10"/>
        <v>0</v>
      </c>
      <c r="K109" s="53">
        <f t="shared" si="11"/>
        <v>-672336000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669</v>
      </c>
      <c r="H110" s="36">
        <f t="shared" si="8"/>
        <v>1</v>
      </c>
      <c r="I110" s="11">
        <f t="shared" si="9"/>
        <v>13360000000</v>
      </c>
      <c r="J110" s="53">
        <f t="shared" si="10"/>
        <v>0</v>
      </c>
      <c r="K110" s="53">
        <f t="shared" si="11"/>
        <v>13360000000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649</v>
      </c>
      <c r="H111" s="36">
        <f t="shared" si="8"/>
        <v>1</v>
      </c>
      <c r="I111" s="11">
        <f t="shared" si="9"/>
        <v>113191344</v>
      </c>
      <c r="J111" s="53">
        <f t="shared" si="10"/>
        <v>56611224</v>
      </c>
      <c r="K111" s="53">
        <f t="shared" si="11"/>
        <v>56580120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633</v>
      </c>
      <c r="H112" s="36">
        <f t="shared" si="8"/>
        <v>0</v>
      </c>
      <c r="I112" s="11">
        <f t="shared" si="9"/>
        <v>-17977200000</v>
      </c>
      <c r="J112" s="53">
        <f t="shared" si="10"/>
        <v>0</v>
      </c>
      <c r="K112" s="53">
        <f t="shared" si="11"/>
        <v>-17977200000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618</v>
      </c>
      <c r="H113" s="36">
        <f t="shared" si="8"/>
        <v>1</v>
      </c>
      <c r="I113" s="11">
        <f t="shared" si="9"/>
        <v>100595680</v>
      </c>
      <c r="J113" s="53">
        <f t="shared" si="10"/>
        <v>75589287</v>
      </c>
      <c r="K113" s="53">
        <f t="shared" si="11"/>
        <v>25006393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618</v>
      </c>
      <c r="H114" s="36">
        <f t="shared" si="8"/>
        <v>0</v>
      </c>
      <c r="I114" s="11">
        <f t="shared" si="9"/>
        <v>-3522600</v>
      </c>
      <c r="J114" s="53">
        <f t="shared" si="10"/>
        <v>-1545000</v>
      </c>
      <c r="K114" s="53">
        <f t="shared" si="11"/>
        <v>-1977600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605</v>
      </c>
      <c r="H115" s="36">
        <f t="shared" si="8"/>
        <v>0</v>
      </c>
      <c r="I115" s="11">
        <f t="shared" si="9"/>
        <v>0</v>
      </c>
      <c r="J115" s="53">
        <f t="shared" si="10"/>
        <v>302500000</v>
      </c>
      <c r="K115" s="53">
        <f t="shared" si="11"/>
        <v>-302500000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597</v>
      </c>
      <c r="H116" s="36">
        <f t="shared" si="8"/>
        <v>0</v>
      </c>
      <c r="I116" s="11">
        <f t="shared" si="9"/>
        <v>-95520000</v>
      </c>
      <c r="J116" s="53">
        <f t="shared" si="10"/>
        <v>0</v>
      </c>
      <c r="K116" s="53">
        <f t="shared" si="11"/>
        <v>-95520000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588</v>
      </c>
      <c r="H117" s="36">
        <f t="shared" si="8"/>
        <v>1</v>
      </c>
      <c r="I117" s="11">
        <f t="shared" si="9"/>
        <v>868760</v>
      </c>
      <c r="J117" s="53">
        <f t="shared" si="10"/>
        <v>62774367</v>
      </c>
      <c r="K117" s="53">
        <f t="shared" si="11"/>
        <v>-61905607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566</v>
      </c>
      <c r="H118" s="36">
        <f t="shared" si="8"/>
        <v>1</v>
      </c>
      <c r="I118" s="11">
        <f t="shared" si="9"/>
        <v>22260717500</v>
      </c>
      <c r="J118" s="53">
        <f t="shared" si="10"/>
        <v>0</v>
      </c>
      <c r="K118" s="53">
        <f t="shared" si="11"/>
        <v>22260717500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557</v>
      </c>
      <c r="H119" s="36">
        <f t="shared" si="8"/>
        <v>1</v>
      </c>
      <c r="I119" s="11">
        <f t="shared" si="9"/>
        <v>53109676</v>
      </c>
      <c r="J119" s="53">
        <f t="shared" si="10"/>
        <v>61190024</v>
      </c>
      <c r="K119" s="53">
        <f t="shared" si="11"/>
        <v>-8080348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553</v>
      </c>
      <c r="H120" s="11">
        <f t="shared" si="8"/>
        <v>1</v>
      </c>
      <c r="I120" s="11">
        <f t="shared" ref="I120:I285" si="13">B120*(G120-H120)</f>
        <v>1104000000</v>
      </c>
      <c r="J120" s="11">
        <f t="shared" si="10"/>
        <v>0</v>
      </c>
      <c r="K120" s="11">
        <f t="shared" si="11"/>
        <v>1104000000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527</v>
      </c>
      <c r="H121" s="11">
        <f t="shared" si="8"/>
        <v>1</v>
      </c>
      <c r="I121" s="11">
        <f t="shared" si="13"/>
        <v>1367600000</v>
      </c>
      <c r="J121" s="11">
        <f t="shared" si="10"/>
        <v>0</v>
      </c>
      <c r="K121" s="11">
        <f t="shared" si="11"/>
        <v>1367600000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526</v>
      </c>
      <c r="H122" s="11">
        <f t="shared" si="8"/>
        <v>1</v>
      </c>
      <c r="I122" s="11">
        <f t="shared" si="13"/>
        <v>201889275</v>
      </c>
      <c r="J122" s="11">
        <f t="shared" si="10"/>
        <v>58226700</v>
      </c>
      <c r="K122" s="11">
        <f t="shared" si="11"/>
        <v>143662575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525</v>
      </c>
      <c r="H123" s="11">
        <f t="shared" si="8"/>
        <v>0</v>
      </c>
      <c r="I123" s="11">
        <f t="shared" si="13"/>
        <v>0</v>
      </c>
      <c r="J123" s="11">
        <f t="shared" si="10"/>
        <v>420000000</v>
      </c>
      <c r="K123" s="11">
        <f t="shared" si="11"/>
        <v>-420000000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511</v>
      </c>
      <c r="H124" s="11">
        <f t="shared" si="8"/>
        <v>0</v>
      </c>
      <c r="I124" s="11">
        <f t="shared" si="13"/>
        <v>-1533000000</v>
      </c>
      <c r="J124" s="11">
        <f t="shared" si="10"/>
        <v>0</v>
      </c>
      <c r="K124" s="11">
        <f t="shared" si="11"/>
        <v>-1533000000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496</v>
      </c>
      <c r="H125" s="11">
        <f t="shared" si="8"/>
        <v>1</v>
      </c>
      <c r="I125" s="11">
        <f t="shared" si="13"/>
        <v>198351450</v>
      </c>
      <c r="J125" s="11">
        <f t="shared" si="10"/>
        <v>58843125</v>
      </c>
      <c r="K125" s="11">
        <f t="shared" si="11"/>
        <v>139508325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496</v>
      </c>
      <c r="H126" s="11">
        <f t="shared" si="8"/>
        <v>1</v>
      </c>
      <c r="I126" s="11">
        <f t="shared" si="13"/>
        <v>20790000000</v>
      </c>
      <c r="J126" s="11">
        <f t="shared" si="10"/>
        <v>0</v>
      </c>
      <c r="K126" s="11">
        <f t="shared" si="11"/>
        <v>20790000000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471</v>
      </c>
      <c r="H127" s="11">
        <f t="shared" si="8"/>
        <v>0</v>
      </c>
      <c r="I127" s="11">
        <f t="shared" si="13"/>
        <v>-2355000</v>
      </c>
      <c r="J127" s="11">
        <f t="shared" si="10"/>
        <v>0</v>
      </c>
      <c r="K127" s="11">
        <f t="shared" si="11"/>
        <v>-2355000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465</v>
      </c>
      <c r="H128" s="11">
        <f t="shared" si="8"/>
        <v>1</v>
      </c>
      <c r="I128" s="11">
        <f t="shared" si="13"/>
        <v>357917536</v>
      </c>
      <c r="J128" s="11">
        <f t="shared" si="10"/>
        <v>56003408</v>
      </c>
      <c r="K128" s="11">
        <f t="shared" si="11"/>
        <v>301914128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462</v>
      </c>
      <c r="H129" s="11">
        <f t="shared" si="8"/>
        <v>1</v>
      </c>
      <c r="I129" s="11">
        <f t="shared" si="13"/>
        <v>1152500000</v>
      </c>
      <c r="J129" s="11">
        <f t="shared" si="10"/>
        <v>0</v>
      </c>
      <c r="K129" s="11">
        <f t="shared" si="11"/>
        <v>1152500000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448</v>
      </c>
      <c r="H130" s="11">
        <f t="shared" si="8"/>
        <v>0</v>
      </c>
      <c r="I130" s="11">
        <f t="shared" si="13"/>
        <v>-448000000</v>
      </c>
      <c r="J130" s="11">
        <f t="shared" si="10"/>
        <v>-448000000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443</v>
      </c>
      <c r="H131" s="11">
        <f t="shared" si="8"/>
        <v>0</v>
      </c>
      <c r="I131" s="11">
        <f t="shared" si="13"/>
        <v>-22150000000</v>
      </c>
      <c r="J131" s="11">
        <f t="shared" si="10"/>
        <v>0</v>
      </c>
      <c r="K131" s="11">
        <f t="shared" si="11"/>
        <v>-22150000000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435</v>
      </c>
      <c r="H132" s="11">
        <f t="shared" ref="H132:H285" si="15">IF(B132&gt;0,1,0)</f>
        <v>1</v>
      </c>
      <c r="I132" s="11">
        <f t="shared" si="13"/>
        <v>266600558</v>
      </c>
      <c r="J132" s="11">
        <f t="shared" ref="J132:J206" si="16">C132*(G132-H132)</f>
        <v>45991414</v>
      </c>
      <c r="K132" s="11">
        <f t="shared" ref="K132:K285" si="17">D132*(G132-H132)</f>
        <v>220609144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431</v>
      </c>
      <c r="H133" s="11">
        <f t="shared" si="15"/>
        <v>0</v>
      </c>
      <c r="I133" s="11">
        <f t="shared" si="13"/>
        <v>-521811700</v>
      </c>
      <c r="J133" s="11">
        <f t="shared" si="16"/>
        <v>0</v>
      </c>
      <c r="K133" s="11">
        <f t="shared" si="17"/>
        <v>-521811700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422</v>
      </c>
      <c r="H134" s="11">
        <f t="shared" si="15"/>
        <v>0</v>
      </c>
      <c r="I134" s="11">
        <f t="shared" si="13"/>
        <v>-27430000</v>
      </c>
      <c r="J134" s="11">
        <f t="shared" si="16"/>
        <v>0</v>
      </c>
      <c r="K134" s="11">
        <f t="shared" si="17"/>
        <v>-27430000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422</v>
      </c>
      <c r="H135" s="11">
        <f t="shared" si="15"/>
        <v>0</v>
      </c>
      <c r="I135" s="11">
        <f t="shared" si="13"/>
        <v>-13630600</v>
      </c>
      <c r="J135" s="11">
        <f t="shared" si="16"/>
        <v>0</v>
      </c>
      <c r="K135" s="11">
        <f t="shared" si="17"/>
        <v>-13630600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414</v>
      </c>
      <c r="H136" s="11">
        <f t="shared" si="15"/>
        <v>0</v>
      </c>
      <c r="I136" s="11">
        <f t="shared" si="13"/>
        <v>-414000000</v>
      </c>
      <c r="J136" s="11">
        <f t="shared" si="16"/>
        <v>-414000000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405</v>
      </c>
      <c r="H137" s="11">
        <f t="shared" si="15"/>
        <v>1</v>
      </c>
      <c r="I137" s="11">
        <f t="shared" si="13"/>
        <v>117512692</v>
      </c>
      <c r="J137" s="11">
        <f t="shared" si="16"/>
        <v>39333036</v>
      </c>
      <c r="K137" s="11">
        <f t="shared" si="17"/>
        <v>78179656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388</v>
      </c>
      <c r="H138" s="11">
        <f t="shared" si="15"/>
        <v>0</v>
      </c>
      <c r="I138" s="11">
        <f t="shared" si="13"/>
        <v>-388194000</v>
      </c>
      <c r="J138" s="11">
        <f t="shared" si="16"/>
        <v>-388194000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376</v>
      </c>
      <c r="H139" s="11">
        <f t="shared" si="15"/>
        <v>1</v>
      </c>
      <c r="I139" s="11">
        <f t="shared" si="13"/>
        <v>105840000</v>
      </c>
      <c r="J139" s="11">
        <f t="shared" si="16"/>
        <v>33302625</v>
      </c>
      <c r="K139" s="11">
        <f t="shared" si="17"/>
        <v>72537375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373</v>
      </c>
      <c r="H140" s="11">
        <f t="shared" si="15"/>
        <v>1</v>
      </c>
      <c r="I140" s="11">
        <f t="shared" si="13"/>
        <v>558000000</v>
      </c>
      <c r="J140" s="11">
        <f t="shared" si="16"/>
        <v>0</v>
      </c>
      <c r="K140" s="11">
        <f t="shared" si="17"/>
        <v>558000000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360</v>
      </c>
      <c r="H141" s="11">
        <f t="shared" si="15"/>
        <v>0</v>
      </c>
      <c r="I141" s="11">
        <f t="shared" si="13"/>
        <v>0</v>
      </c>
      <c r="J141" s="11">
        <f t="shared" si="16"/>
        <v>-360000000</v>
      </c>
      <c r="K141" s="11">
        <f t="shared" si="17"/>
        <v>360000000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346</v>
      </c>
      <c r="H142" s="11">
        <f t="shared" si="15"/>
        <v>1</v>
      </c>
      <c r="I142" s="11">
        <f t="shared" si="13"/>
        <v>100358085</v>
      </c>
      <c r="J142" s="11">
        <f t="shared" si="16"/>
        <v>27952590</v>
      </c>
      <c r="K142" s="11">
        <f t="shared" si="17"/>
        <v>72405495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326</v>
      </c>
      <c r="H143" s="11">
        <f t="shared" si="15"/>
        <v>0</v>
      </c>
      <c r="I143" s="11">
        <f t="shared" si="13"/>
        <v>0</v>
      </c>
      <c r="J143" s="11">
        <f t="shared" si="16"/>
        <v>-326000000</v>
      </c>
      <c r="K143" s="11">
        <f t="shared" si="17"/>
        <v>326000000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316</v>
      </c>
      <c r="H144" s="11">
        <f t="shared" si="15"/>
        <v>1</v>
      </c>
      <c r="I144" s="11">
        <f t="shared" si="13"/>
        <v>92878380</v>
      </c>
      <c r="J144" s="11">
        <f t="shared" si="16"/>
        <v>23516955</v>
      </c>
      <c r="K144" s="11">
        <f t="shared" si="17"/>
        <v>69361425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301</v>
      </c>
      <c r="H145" s="11">
        <f t="shared" si="15"/>
        <v>0</v>
      </c>
      <c r="I145" s="11">
        <f t="shared" si="13"/>
        <v>-3010000</v>
      </c>
      <c r="J145" s="11">
        <f t="shared" si="16"/>
        <v>-1505000</v>
      </c>
      <c r="K145" s="11">
        <f t="shared" si="17"/>
        <v>-1505000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296</v>
      </c>
      <c r="H146" s="11">
        <f t="shared" si="15"/>
        <v>0</v>
      </c>
      <c r="I146" s="11">
        <f t="shared" si="13"/>
        <v>-296148000</v>
      </c>
      <c r="J146" s="11">
        <f t="shared" si="16"/>
        <v>-296148000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290</v>
      </c>
      <c r="H147" s="11">
        <f t="shared" si="15"/>
        <v>0</v>
      </c>
      <c r="I147" s="11">
        <f t="shared" si="13"/>
        <v>-7830000000</v>
      </c>
      <c r="J147" s="11">
        <f t="shared" si="16"/>
        <v>0</v>
      </c>
      <c r="K147" s="11">
        <f t="shared" si="17"/>
        <v>-7830000000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287</v>
      </c>
      <c r="H148" s="11">
        <f t="shared" si="15"/>
        <v>1</v>
      </c>
      <c r="I148" s="11">
        <f t="shared" si="13"/>
        <v>72196696</v>
      </c>
      <c r="J148" s="11">
        <f t="shared" si="16"/>
        <v>18735860</v>
      </c>
      <c r="K148" s="11">
        <f t="shared" si="17"/>
        <v>53460836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279</v>
      </c>
      <c r="H149" s="11">
        <f t="shared" si="15"/>
        <v>1</v>
      </c>
      <c r="I149" s="11">
        <f t="shared" si="13"/>
        <v>14567200000</v>
      </c>
      <c r="J149" s="11">
        <f t="shared" si="16"/>
        <v>0</v>
      </c>
      <c r="K149" s="11">
        <f t="shared" si="17"/>
        <v>14567200000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272</v>
      </c>
      <c r="H150" s="11">
        <f t="shared" si="15"/>
        <v>0</v>
      </c>
      <c r="I150" s="11">
        <f t="shared" si="13"/>
        <v>-14144000000</v>
      </c>
      <c r="J150" s="11">
        <f t="shared" si="16"/>
        <v>0</v>
      </c>
      <c r="K150" s="11">
        <f t="shared" si="17"/>
        <v>-14144000000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267</v>
      </c>
      <c r="H151" s="99">
        <f t="shared" si="15"/>
        <v>0</v>
      </c>
      <c r="I151" s="99">
        <f t="shared" si="13"/>
        <v>-2136000000</v>
      </c>
      <c r="J151" s="99">
        <f t="shared" si="16"/>
        <v>-1808158977</v>
      </c>
      <c r="K151" s="11">
        <f t="shared" si="17"/>
        <v>-327841023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267</v>
      </c>
      <c r="H152" s="99">
        <f t="shared" si="15"/>
        <v>0</v>
      </c>
      <c r="I152" s="99">
        <f t="shared" si="13"/>
        <v>-8338410</v>
      </c>
      <c r="J152" s="99">
        <f t="shared" si="16"/>
        <v>0</v>
      </c>
      <c r="K152" s="99">
        <f t="shared" si="17"/>
        <v>-8338410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256</v>
      </c>
      <c r="H153" s="99">
        <f t="shared" si="15"/>
        <v>1</v>
      </c>
      <c r="I153" s="99">
        <f t="shared" si="13"/>
        <v>34447185</v>
      </c>
      <c r="J153" s="99">
        <f t="shared" si="16"/>
        <v>10488150</v>
      </c>
      <c r="K153" s="99">
        <f t="shared" si="17"/>
        <v>23959035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253</v>
      </c>
      <c r="H154" s="99">
        <f t="shared" si="15"/>
        <v>1</v>
      </c>
      <c r="I154" s="99">
        <f t="shared" si="13"/>
        <v>1719668664</v>
      </c>
      <c r="J154" s="99">
        <f t="shared" si="16"/>
        <v>1719668664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248</v>
      </c>
      <c r="H155" s="99">
        <f t="shared" si="15"/>
        <v>0</v>
      </c>
      <c r="I155" s="99">
        <f t="shared" si="13"/>
        <v>-49600000</v>
      </c>
      <c r="J155" s="99">
        <f t="shared" si="16"/>
        <v>0</v>
      </c>
      <c r="K155" s="99">
        <f t="shared" si="17"/>
        <v>-49600000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248</v>
      </c>
      <c r="H156" s="99">
        <f t="shared" si="15"/>
        <v>0</v>
      </c>
      <c r="I156" s="99">
        <f t="shared" si="13"/>
        <v>-61464320</v>
      </c>
      <c r="J156" s="99">
        <f t="shared" si="16"/>
        <v>0</v>
      </c>
      <c r="K156" s="99">
        <f t="shared" si="17"/>
        <v>-61464320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247</v>
      </c>
      <c r="H157" s="99">
        <f t="shared" si="15"/>
        <v>0</v>
      </c>
      <c r="I157" s="99">
        <f t="shared" si="13"/>
        <v>-40097980</v>
      </c>
      <c r="J157" s="99">
        <f t="shared" si="16"/>
        <v>0</v>
      </c>
      <c r="K157" s="99">
        <f t="shared" si="17"/>
        <v>-40097980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247</v>
      </c>
      <c r="H158" s="99">
        <f t="shared" si="15"/>
        <v>0</v>
      </c>
      <c r="I158" s="99">
        <f t="shared" si="13"/>
        <v>-741222300</v>
      </c>
      <c r="J158" s="99">
        <f t="shared" si="16"/>
        <v>0</v>
      </c>
      <c r="K158" s="99">
        <f t="shared" si="17"/>
        <v>-741222300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245</v>
      </c>
      <c r="H159" s="99">
        <f t="shared" si="15"/>
        <v>0</v>
      </c>
      <c r="I159" s="99">
        <f t="shared" si="13"/>
        <v>-245122500</v>
      </c>
      <c r="J159" s="99">
        <f t="shared" si="16"/>
        <v>0</v>
      </c>
      <c r="K159" s="99">
        <f t="shared" si="17"/>
        <v>-245122500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241</v>
      </c>
      <c r="H160" s="99">
        <f t="shared" si="15"/>
        <v>0</v>
      </c>
      <c r="I160" s="99">
        <f t="shared" si="13"/>
        <v>-24100000</v>
      </c>
      <c r="J160" s="99">
        <f t="shared" si="16"/>
        <v>0</v>
      </c>
      <c r="K160" s="99">
        <f t="shared" si="17"/>
        <v>-24100000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240</v>
      </c>
      <c r="H161" s="99">
        <f t="shared" si="15"/>
        <v>0</v>
      </c>
      <c r="I161" s="99">
        <f t="shared" si="13"/>
        <v>-480000000</v>
      </c>
      <c r="J161" s="99">
        <f t="shared" si="16"/>
        <v>0</v>
      </c>
      <c r="K161" s="99">
        <f t="shared" si="17"/>
        <v>-480000000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240</v>
      </c>
      <c r="H162" s="99">
        <f t="shared" si="15"/>
        <v>0</v>
      </c>
      <c r="I162" s="99">
        <f t="shared" si="13"/>
        <v>-240120000</v>
      </c>
      <c r="J162" s="99">
        <f t="shared" si="16"/>
        <v>0</v>
      </c>
      <c r="K162" s="99">
        <f t="shared" si="17"/>
        <v>-240120000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237</v>
      </c>
      <c r="H163" s="99">
        <f t="shared" si="15"/>
        <v>0</v>
      </c>
      <c r="I163" s="99">
        <f t="shared" si="13"/>
        <v>-1185000</v>
      </c>
      <c r="J163" s="99">
        <f t="shared" si="16"/>
        <v>0</v>
      </c>
      <c r="K163" s="99">
        <f t="shared" si="17"/>
        <v>-1185000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227</v>
      </c>
      <c r="H164" s="99">
        <f t="shared" si="15"/>
        <v>1</v>
      </c>
      <c r="I164" s="99">
        <f t="shared" si="13"/>
        <v>678000000</v>
      </c>
      <c r="J164" s="99">
        <f t="shared" si="16"/>
        <v>0</v>
      </c>
      <c r="K164" s="99">
        <f t="shared" si="17"/>
        <v>678000000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226</v>
      </c>
      <c r="H165" s="99">
        <f t="shared" si="15"/>
        <v>1</v>
      </c>
      <c r="I165" s="99">
        <f t="shared" si="13"/>
        <v>675000000</v>
      </c>
      <c r="J165" s="99">
        <f t="shared" si="16"/>
        <v>0</v>
      </c>
      <c r="K165" s="99">
        <f t="shared" si="17"/>
        <v>675000000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225</v>
      </c>
      <c r="H166" s="99">
        <f t="shared" si="15"/>
        <v>1</v>
      </c>
      <c r="I166" s="99">
        <f t="shared" si="13"/>
        <v>4550336</v>
      </c>
      <c r="J166" s="99">
        <f t="shared" si="16"/>
        <v>13404608</v>
      </c>
      <c r="K166" s="99">
        <f t="shared" si="17"/>
        <v>-8854272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220</v>
      </c>
      <c r="H167" s="99">
        <f t="shared" si="15"/>
        <v>0</v>
      </c>
      <c r="I167" s="99">
        <f t="shared" si="13"/>
        <v>-660198000</v>
      </c>
      <c r="J167" s="99">
        <f t="shared" si="16"/>
        <v>0</v>
      </c>
      <c r="K167" s="99">
        <f t="shared" si="17"/>
        <v>-660198000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202</v>
      </c>
      <c r="H168" s="99">
        <f t="shared" si="15"/>
        <v>0</v>
      </c>
      <c r="I168" s="99">
        <f t="shared" si="13"/>
        <v>-606181800</v>
      </c>
      <c r="J168" s="99">
        <f t="shared" si="16"/>
        <v>0</v>
      </c>
      <c r="K168" s="99">
        <f t="shared" si="17"/>
        <v>-606181800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194</v>
      </c>
      <c r="H169" s="99">
        <f t="shared" si="15"/>
        <v>1</v>
      </c>
      <c r="I169" s="99">
        <f t="shared" si="13"/>
        <v>4189065</v>
      </c>
      <c r="J169" s="99">
        <f t="shared" si="16"/>
        <v>13223395</v>
      </c>
      <c r="K169" s="99">
        <f t="shared" si="17"/>
        <v>-9034330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170</v>
      </c>
      <c r="H170" s="99">
        <f t="shared" si="15"/>
        <v>1</v>
      </c>
      <c r="I170" s="99">
        <f t="shared" si="13"/>
        <v>845000000</v>
      </c>
      <c r="J170" s="99">
        <f t="shared" si="16"/>
        <v>0</v>
      </c>
      <c r="K170" s="99">
        <f t="shared" si="17"/>
        <v>845000000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169</v>
      </c>
      <c r="H171" s="99">
        <f t="shared" si="15"/>
        <v>0</v>
      </c>
      <c r="I171" s="99">
        <f t="shared" si="13"/>
        <v>-845000000</v>
      </c>
      <c r="J171" s="99">
        <f t="shared" si="16"/>
        <v>0</v>
      </c>
      <c r="K171" s="99">
        <f t="shared" si="17"/>
        <v>-845000000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163</v>
      </c>
      <c r="H172" s="99">
        <f t="shared" si="15"/>
        <v>1</v>
      </c>
      <c r="I172" s="99">
        <f t="shared" si="13"/>
        <v>80352</v>
      </c>
      <c r="J172" s="99">
        <f t="shared" si="16"/>
        <v>10154322</v>
      </c>
      <c r="K172" s="99">
        <f t="shared" si="17"/>
        <v>-10073970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162</v>
      </c>
      <c r="H173" s="99">
        <f t="shared" si="15"/>
        <v>1</v>
      </c>
      <c r="I173" s="99">
        <f t="shared" si="13"/>
        <v>126385000</v>
      </c>
      <c r="J173" s="99">
        <f t="shared" si="16"/>
        <v>0</v>
      </c>
      <c r="K173" s="99">
        <f t="shared" si="17"/>
        <v>126385000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151</v>
      </c>
      <c r="H174" s="99">
        <f t="shared" si="15"/>
        <v>0</v>
      </c>
      <c r="I174" s="99">
        <f t="shared" si="13"/>
        <v>-4832000</v>
      </c>
      <c r="J174" s="99">
        <f t="shared" si="16"/>
        <v>0</v>
      </c>
      <c r="K174" s="99">
        <f t="shared" si="17"/>
        <v>-4832000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149</v>
      </c>
      <c r="H175" s="99">
        <f t="shared" si="15"/>
        <v>0</v>
      </c>
      <c r="I175" s="99">
        <f t="shared" si="13"/>
        <v>-111750000</v>
      </c>
      <c r="J175" s="99">
        <f t="shared" si="16"/>
        <v>0</v>
      </c>
      <c r="K175" s="99">
        <f t="shared" si="17"/>
        <v>-111750000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140</v>
      </c>
      <c r="H176" s="99">
        <f t="shared" si="15"/>
        <v>0</v>
      </c>
      <c r="I176" s="99">
        <f t="shared" si="13"/>
        <v>-1315440</v>
      </c>
      <c r="J176" s="99">
        <f t="shared" si="16"/>
        <v>0</v>
      </c>
      <c r="K176" s="99">
        <f t="shared" si="17"/>
        <v>-1315440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139</v>
      </c>
      <c r="H177" s="99">
        <f t="shared" si="15"/>
        <v>0</v>
      </c>
      <c r="I177" s="99">
        <f t="shared" si="13"/>
        <v>-6018700</v>
      </c>
      <c r="J177" s="99">
        <f t="shared" si="16"/>
        <v>0</v>
      </c>
      <c r="K177" s="99">
        <f t="shared" si="17"/>
        <v>-6018700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136</v>
      </c>
      <c r="H178" s="99">
        <f t="shared" si="15"/>
        <v>1</v>
      </c>
      <c r="I178" s="99">
        <f t="shared" si="13"/>
        <v>48600000</v>
      </c>
      <c r="J178" s="99">
        <f t="shared" si="16"/>
        <v>0</v>
      </c>
      <c r="K178" s="99">
        <f t="shared" si="17"/>
        <v>48600000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134</v>
      </c>
      <c r="H179" s="99">
        <f t="shared" si="15"/>
        <v>1</v>
      </c>
      <c r="I179" s="99">
        <f t="shared" si="13"/>
        <v>399000000</v>
      </c>
      <c r="J179" s="99">
        <f t="shared" si="16"/>
        <v>0</v>
      </c>
      <c r="K179" s="99">
        <f t="shared" si="17"/>
        <v>399000000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134</v>
      </c>
      <c r="H180" s="99">
        <f t="shared" si="15"/>
        <v>0</v>
      </c>
      <c r="I180" s="99">
        <f t="shared" si="13"/>
        <v>-1614700</v>
      </c>
      <c r="J180" s="99">
        <f t="shared" si="16"/>
        <v>0</v>
      </c>
      <c r="K180" s="99">
        <f t="shared" si="17"/>
        <v>-1614700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132</v>
      </c>
      <c r="H181" s="99">
        <f t="shared" si="15"/>
        <v>1</v>
      </c>
      <c r="I181" s="99">
        <f t="shared" si="13"/>
        <v>393000000</v>
      </c>
      <c r="J181" s="99">
        <f t="shared" si="16"/>
        <v>0</v>
      </c>
      <c r="K181" s="99">
        <f t="shared" si="17"/>
        <v>393000000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130</v>
      </c>
      <c r="H182" s="99">
        <f t="shared" si="15"/>
        <v>0</v>
      </c>
      <c r="I182" s="99">
        <f t="shared" si="13"/>
        <v>-4654000</v>
      </c>
      <c r="J182" s="99">
        <f t="shared" si="16"/>
        <v>0</v>
      </c>
      <c r="K182" s="99">
        <f t="shared" si="17"/>
        <v>-4654000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129</v>
      </c>
      <c r="H183" s="99">
        <f t="shared" si="15"/>
        <v>1</v>
      </c>
      <c r="I183" s="99">
        <f t="shared" si="13"/>
        <v>460800000</v>
      </c>
      <c r="J183" s="99">
        <f t="shared" si="16"/>
        <v>0</v>
      </c>
      <c r="K183" s="99">
        <f t="shared" si="17"/>
        <v>460800000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129</v>
      </c>
      <c r="H184" s="99">
        <f t="shared" si="15"/>
        <v>0</v>
      </c>
      <c r="I184" s="99">
        <f t="shared" si="13"/>
        <v>-4305633</v>
      </c>
      <c r="J184" s="99">
        <f t="shared" si="16"/>
        <v>0</v>
      </c>
      <c r="K184" s="99">
        <f t="shared" si="17"/>
        <v>-4305633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126</v>
      </c>
      <c r="H185" s="99">
        <f t="shared" si="15"/>
        <v>0</v>
      </c>
      <c r="I185" s="99">
        <f t="shared" si="13"/>
        <v>-1234800000</v>
      </c>
      <c r="J185" s="99">
        <f t="shared" si="16"/>
        <v>0</v>
      </c>
      <c r="K185" s="99">
        <f t="shared" si="17"/>
        <v>-1234800000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126</v>
      </c>
      <c r="H186" s="99">
        <f t="shared" si="15"/>
        <v>1</v>
      </c>
      <c r="I186" s="99">
        <f t="shared" si="13"/>
        <v>2250000000</v>
      </c>
      <c r="J186" s="99">
        <f t="shared" si="16"/>
        <v>0</v>
      </c>
      <c r="K186" s="99">
        <f t="shared" si="17"/>
        <v>2250000000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126</v>
      </c>
      <c r="H187" s="99">
        <f t="shared" si="15"/>
        <v>0</v>
      </c>
      <c r="I187" s="99">
        <f t="shared" si="13"/>
        <v>-1134000000</v>
      </c>
      <c r="J187" s="99">
        <f t="shared" si="16"/>
        <v>0</v>
      </c>
      <c r="K187" s="99">
        <f t="shared" si="17"/>
        <v>-1134000000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126</v>
      </c>
      <c r="H188" s="99">
        <f t="shared" si="15"/>
        <v>0</v>
      </c>
      <c r="I188" s="99">
        <f t="shared" si="13"/>
        <v>-1461600</v>
      </c>
      <c r="J188" s="99">
        <f t="shared" si="16"/>
        <v>0</v>
      </c>
      <c r="K188" s="99">
        <f t="shared" si="17"/>
        <v>-1461600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126</v>
      </c>
      <c r="H189" s="99">
        <f t="shared" si="15"/>
        <v>0</v>
      </c>
      <c r="I189" s="99">
        <f t="shared" si="13"/>
        <v>-416345202</v>
      </c>
      <c r="J189" s="99">
        <f t="shared" si="16"/>
        <v>0</v>
      </c>
      <c r="K189" s="99">
        <f t="shared" si="17"/>
        <v>-416345202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125</v>
      </c>
      <c r="H190" s="99">
        <f t="shared" si="15"/>
        <v>0</v>
      </c>
      <c r="I190" s="99">
        <f t="shared" si="13"/>
        <v>-375112500</v>
      </c>
      <c r="J190" s="99">
        <f t="shared" si="16"/>
        <v>0</v>
      </c>
      <c r="K190" s="99">
        <f t="shared" si="17"/>
        <v>-375112500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124</v>
      </c>
      <c r="H191" s="99">
        <f t="shared" si="15"/>
        <v>0</v>
      </c>
      <c r="I191" s="99">
        <f t="shared" si="13"/>
        <v>-342351600</v>
      </c>
      <c r="J191" s="99">
        <f t="shared" si="16"/>
        <v>0</v>
      </c>
      <c r="K191" s="99">
        <f t="shared" si="17"/>
        <v>-342351600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119</v>
      </c>
      <c r="H192" s="99">
        <f t="shared" si="15"/>
        <v>1</v>
      </c>
      <c r="I192" s="99">
        <f t="shared" si="13"/>
        <v>118000000</v>
      </c>
      <c r="J192" s="99">
        <f t="shared" si="16"/>
        <v>0</v>
      </c>
      <c r="K192" s="99">
        <f t="shared" si="17"/>
        <v>118000000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118</v>
      </c>
      <c r="H193" s="99">
        <f t="shared" si="15"/>
        <v>0</v>
      </c>
      <c r="I193" s="99">
        <f t="shared" si="13"/>
        <v>-1770000</v>
      </c>
      <c r="J193" s="99">
        <f t="shared" si="16"/>
        <v>0</v>
      </c>
      <c r="K193" s="99">
        <f t="shared" si="17"/>
        <v>-1770000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116</v>
      </c>
      <c r="H194" s="99">
        <f t="shared" si="15"/>
        <v>0</v>
      </c>
      <c r="I194" s="99">
        <f t="shared" si="13"/>
        <v>-114840000</v>
      </c>
      <c r="J194" s="99">
        <f t="shared" si="16"/>
        <v>0</v>
      </c>
      <c r="K194" s="99">
        <f t="shared" si="17"/>
        <v>-114840000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116</v>
      </c>
      <c r="H195" s="99">
        <f t="shared" si="15"/>
        <v>1</v>
      </c>
      <c r="I195" s="99">
        <f t="shared" si="13"/>
        <v>90045000</v>
      </c>
      <c r="J195" s="99">
        <f t="shared" si="16"/>
        <v>0</v>
      </c>
      <c r="K195" s="99">
        <f t="shared" si="17"/>
        <v>90045000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114</v>
      </c>
      <c r="H196" s="99">
        <f t="shared" si="15"/>
        <v>0</v>
      </c>
      <c r="I196" s="99">
        <f t="shared" si="13"/>
        <v>-85557000</v>
      </c>
      <c r="J196" s="99">
        <f t="shared" si="16"/>
        <v>0</v>
      </c>
      <c r="K196" s="99">
        <f t="shared" si="17"/>
        <v>-85557000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112</v>
      </c>
      <c r="H197" s="99">
        <f t="shared" si="15"/>
        <v>1</v>
      </c>
      <c r="I197" s="99">
        <f t="shared" si="13"/>
        <v>77700000</v>
      </c>
      <c r="J197" s="99">
        <f t="shared" si="16"/>
        <v>0</v>
      </c>
      <c r="K197" s="99">
        <f t="shared" si="17"/>
        <v>77700000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112</v>
      </c>
      <c r="H198" s="99">
        <f t="shared" si="15"/>
        <v>0</v>
      </c>
      <c r="I198" s="99">
        <f t="shared" si="13"/>
        <v>-11088000</v>
      </c>
      <c r="J198" s="99">
        <f t="shared" si="16"/>
        <v>0</v>
      </c>
      <c r="K198" s="99">
        <f t="shared" si="17"/>
        <v>-11088000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111</v>
      </c>
      <c r="H199" s="99">
        <f t="shared" si="15"/>
        <v>0</v>
      </c>
      <c r="I199" s="99">
        <f t="shared" si="13"/>
        <v>-22838250</v>
      </c>
      <c r="J199" s="99">
        <f t="shared" si="16"/>
        <v>0</v>
      </c>
      <c r="K199" s="99">
        <f t="shared" si="17"/>
        <v>-22838250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111</v>
      </c>
      <c r="H200" s="99">
        <f t="shared" si="15"/>
        <v>0</v>
      </c>
      <c r="I200" s="99">
        <f t="shared" si="13"/>
        <v>-10545000</v>
      </c>
      <c r="J200" s="99">
        <f t="shared" si="16"/>
        <v>0</v>
      </c>
      <c r="K200" s="99">
        <f t="shared" si="17"/>
        <v>-10545000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108</v>
      </c>
      <c r="H201" s="99">
        <f t="shared" si="15"/>
        <v>1</v>
      </c>
      <c r="I201" s="99">
        <f t="shared" si="13"/>
        <v>5205550000</v>
      </c>
      <c r="J201" s="99">
        <f t="shared" si="16"/>
        <v>0</v>
      </c>
      <c r="K201" s="99">
        <f t="shared" si="17"/>
        <v>5205550000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108</v>
      </c>
      <c r="H202" s="99">
        <f t="shared" si="15"/>
        <v>0</v>
      </c>
      <c r="I202" s="99">
        <f t="shared" si="13"/>
        <v>-324097200</v>
      </c>
      <c r="J202" s="99">
        <f t="shared" si="16"/>
        <v>0</v>
      </c>
      <c r="K202" s="99">
        <f t="shared" si="17"/>
        <v>-324097200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108</v>
      </c>
      <c r="H203" s="99">
        <f t="shared" si="15"/>
        <v>0</v>
      </c>
      <c r="I203" s="99">
        <f t="shared" si="13"/>
        <v>-540000</v>
      </c>
      <c r="J203" s="99">
        <f t="shared" si="16"/>
        <v>0</v>
      </c>
      <c r="K203" s="99">
        <f t="shared" si="17"/>
        <v>-540000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108</v>
      </c>
      <c r="H204" s="99">
        <f t="shared" si="15"/>
        <v>0</v>
      </c>
      <c r="I204" s="99">
        <f t="shared" si="13"/>
        <v>-3618000000</v>
      </c>
      <c r="J204" s="99">
        <f t="shared" si="16"/>
        <v>0</v>
      </c>
      <c r="K204" s="99">
        <f t="shared" si="17"/>
        <v>-3618000000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107</v>
      </c>
      <c r="H205" s="99">
        <f t="shared" si="15"/>
        <v>0</v>
      </c>
      <c r="I205" s="99">
        <f t="shared" si="13"/>
        <v>-1330545000</v>
      </c>
      <c r="J205" s="99">
        <f t="shared" si="16"/>
        <v>0</v>
      </c>
      <c r="K205" s="99">
        <f t="shared" si="17"/>
        <v>-1330545000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104</v>
      </c>
      <c r="H206" s="99">
        <f t="shared" si="15"/>
        <v>0</v>
      </c>
      <c r="I206" s="99">
        <f t="shared" si="13"/>
        <v>-1924000</v>
      </c>
      <c r="J206" s="99">
        <f t="shared" si="16"/>
        <v>0</v>
      </c>
      <c r="K206" s="99">
        <f t="shared" si="17"/>
        <v>-1924000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102</v>
      </c>
      <c r="H207" s="99">
        <f t="shared" si="15"/>
        <v>1</v>
      </c>
      <c r="I207" s="99">
        <f t="shared" si="13"/>
        <v>1462480</v>
      </c>
      <c r="J207" s="99">
        <f t="shared" ref="J207:J285" si="20">C207*(G207-H207)</f>
        <v>7158274</v>
      </c>
      <c r="K207" s="99">
        <f t="shared" si="17"/>
        <v>-5695794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101</v>
      </c>
      <c r="H208" s="99">
        <f t="shared" si="15"/>
        <v>1</v>
      </c>
      <c r="I208" s="99">
        <f t="shared" si="13"/>
        <v>83000000</v>
      </c>
      <c r="J208" s="99">
        <f t="shared" si="20"/>
        <v>0</v>
      </c>
      <c r="K208" s="99">
        <f t="shared" si="17"/>
        <v>83000000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99</v>
      </c>
      <c r="H209" s="99">
        <f t="shared" si="15"/>
        <v>0</v>
      </c>
      <c r="I209" s="99">
        <f t="shared" si="13"/>
        <v>-5191560</v>
      </c>
      <c r="J209" s="99">
        <f t="shared" si="20"/>
        <v>0</v>
      </c>
      <c r="K209" s="99">
        <f t="shared" si="17"/>
        <v>-5191560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98</v>
      </c>
      <c r="H210" s="99">
        <f t="shared" si="15"/>
        <v>0</v>
      </c>
      <c r="I210" s="99">
        <f t="shared" si="13"/>
        <v>-5007800</v>
      </c>
      <c r="J210" s="99">
        <f t="shared" si="20"/>
        <v>0</v>
      </c>
      <c r="K210" s="99">
        <f t="shared" si="17"/>
        <v>-5007800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97</v>
      </c>
      <c r="H211" s="99">
        <f t="shared" si="15"/>
        <v>0</v>
      </c>
      <c r="I211" s="99">
        <f t="shared" si="13"/>
        <v>-19400000</v>
      </c>
      <c r="J211" s="99">
        <f t="shared" si="20"/>
        <v>0</v>
      </c>
      <c r="K211" s="99">
        <f t="shared" si="17"/>
        <v>-19400000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96</v>
      </c>
      <c r="H212" s="99">
        <f t="shared" si="15"/>
        <v>0</v>
      </c>
      <c r="I212" s="99">
        <f t="shared" si="13"/>
        <v>-2688000</v>
      </c>
      <c r="J212" s="99">
        <f t="shared" si="20"/>
        <v>0</v>
      </c>
      <c r="K212" s="99">
        <f t="shared" si="17"/>
        <v>-2688000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95</v>
      </c>
      <c r="H213" s="99">
        <f t="shared" si="15"/>
        <v>0</v>
      </c>
      <c r="I213" s="99">
        <f t="shared" si="13"/>
        <v>-5614500</v>
      </c>
      <c r="J213" s="99">
        <f t="shared" si="20"/>
        <v>0</v>
      </c>
      <c r="K213" s="99">
        <f t="shared" si="17"/>
        <v>-5614500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94</v>
      </c>
      <c r="H214" s="99">
        <f t="shared" si="15"/>
        <v>0</v>
      </c>
      <c r="I214" s="99">
        <f t="shared" si="13"/>
        <v>-2820000</v>
      </c>
      <c r="J214" s="99">
        <f t="shared" si="20"/>
        <v>0</v>
      </c>
      <c r="K214" s="99">
        <f t="shared" si="17"/>
        <v>-2820000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94</v>
      </c>
      <c r="H215" s="99">
        <f t="shared" si="15"/>
        <v>0</v>
      </c>
      <c r="I215" s="99">
        <f t="shared" si="13"/>
        <v>-16732000</v>
      </c>
      <c r="J215" s="99">
        <f t="shared" si="20"/>
        <v>0</v>
      </c>
      <c r="K215" s="99">
        <f t="shared" si="17"/>
        <v>-16732000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93</v>
      </c>
      <c r="H216" s="99">
        <f t="shared" si="15"/>
        <v>0</v>
      </c>
      <c r="I216" s="99">
        <f t="shared" si="13"/>
        <v>-8891730</v>
      </c>
      <c r="J216" s="99">
        <f t="shared" si="20"/>
        <v>0</v>
      </c>
      <c r="K216" s="99">
        <f t="shared" si="17"/>
        <v>-8891730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90</v>
      </c>
      <c r="H217" s="99">
        <f t="shared" si="15"/>
        <v>0</v>
      </c>
      <c r="I217" s="99">
        <f t="shared" si="13"/>
        <v>-7560000</v>
      </c>
      <c r="J217" s="99">
        <f t="shared" si="20"/>
        <v>0</v>
      </c>
      <c r="K217" s="99">
        <f t="shared" si="17"/>
        <v>-7560000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88</v>
      </c>
      <c r="H218" s="99">
        <f t="shared" si="15"/>
        <v>0</v>
      </c>
      <c r="I218" s="99">
        <f t="shared" si="13"/>
        <v>-2904000</v>
      </c>
      <c r="J218" s="99">
        <f t="shared" si="20"/>
        <v>0</v>
      </c>
      <c r="K218" s="99">
        <f t="shared" si="17"/>
        <v>-2904000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85</v>
      </c>
      <c r="H219" s="99">
        <f t="shared" si="15"/>
        <v>1</v>
      </c>
      <c r="I219" s="99">
        <f t="shared" si="13"/>
        <v>130032000</v>
      </c>
      <c r="J219" s="99">
        <f t="shared" si="20"/>
        <v>0</v>
      </c>
      <c r="K219" s="99">
        <f t="shared" si="17"/>
        <v>130032000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84</v>
      </c>
      <c r="H220" s="99">
        <f t="shared" si="15"/>
        <v>0</v>
      </c>
      <c r="I220" s="99">
        <f t="shared" si="13"/>
        <v>-117658800</v>
      </c>
      <c r="J220" s="99">
        <f t="shared" si="20"/>
        <v>0</v>
      </c>
      <c r="K220" s="99">
        <f t="shared" si="17"/>
        <v>-117658800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84</v>
      </c>
      <c r="H221" s="99">
        <f t="shared" si="15"/>
        <v>0</v>
      </c>
      <c r="I221" s="99">
        <f t="shared" si="13"/>
        <v>-840000</v>
      </c>
      <c r="J221" s="99">
        <f t="shared" si="20"/>
        <v>0</v>
      </c>
      <c r="K221" s="99">
        <f t="shared" si="17"/>
        <v>-840000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84</v>
      </c>
      <c r="H222" s="99">
        <f t="shared" si="15"/>
        <v>0</v>
      </c>
      <c r="I222" s="99">
        <f t="shared" si="13"/>
        <v>-420000</v>
      </c>
      <c r="J222" s="99">
        <f t="shared" si="20"/>
        <v>-210000</v>
      </c>
      <c r="K222" s="99">
        <f t="shared" si="17"/>
        <v>-210000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78</v>
      </c>
      <c r="H223" s="99">
        <f t="shared" si="15"/>
        <v>0</v>
      </c>
      <c r="I223" s="99">
        <f t="shared" si="13"/>
        <v>-14820000</v>
      </c>
      <c r="J223" s="99">
        <f t="shared" si="20"/>
        <v>0</v>
      </c>
      <c r="K223" s="99">
        <f t="shared" si="17"/>
        <v>-14820000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71</v>
      </c>
      <c r="H224" s="99">
        <f t="shared" si="15"/>
        <v>1</v>
      </c>
      <c r="I224" s="99">
        <f t="shared" si="13"/>
        <v>133770</v>
      </c>
      <c r="J224" s="99">
        <f t="shared" si="20"/>
        <v>4548040</v>
      </c>
      <c r="K224" s="99">
        <f t="shared" si="17"/>
        <v>-4414270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65</v>
      </c>
      <c r="H225" s="99">
        <f t="shared" si="15"/>
        <v>1</v>
      </c>
      <c r="I225" s="99">
        <f t="shared" si="13"/>
        <v>320000000</v>
      </c>
      <c r="J225" s="99">
        <f t="shared" si="20"/>
        <v>0</v>
      </c>
      <c r="K225" s="99">
        <f t="shared" si="17"/>
        <v>320000000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64</v>
      </c>
      <c r="H226" s="99">
        <f t="shared" si="15"/>
        <v>0</v>
      </c>
      <c r="I226" s="99">
        <f t="shared" si="13"/>
        <v>-204800000</v>
      </c>
      <c r="J226" s="99">
        <f t="shared" si="20"/>
        <v>0</v>
      </c>
      <c r="K226" s="99">
        <f t="shared" si="17"/>
        <v>-204800000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64</v>
      </c>
      <c r="H227" s="99">
        <f t="shared" si="15"/>
        <v>1</v>
      </c>
      <c r="I227" s="99">
        <f t="shared" si="13"/>
        <v>151200000</v>
      </c>
      <c r="J227" s="99">
        <f t="shared" si="20"/>
        <v>0</v>
      </c>
      <c r="K227" s="99">
        <f t="shared" si="17"/>
        <v>151200000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62</v>
      </c>
      <c r="H228" s="99">
        <f t="shared" si="15"/>
        <v>0</v>
      </c>
      <c r="I228" s="99">
        <f t="shared" si="13"/>
        <v>-3100000</v>
      </c>
      <c r="J228" s="99">
        <f t="shared" si="20"/>
        <v>0</v>
      </c>
      <c r="K228" s="99">
        <f t="shared" si="17"/>
        <v>-3100000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61</v>
      </c>
      <c r="H229" s="99">
        <f t="shared" si="15"/>
        <v>0</v>
      </c>
      <c r="I229" s="99">
        <f t="shared" si="13"/>
        <v>-250142700</v>
      </c>
      <c r="J229" s="99">
        <f t="shared" si="20"/>
        <v>0</v>
      </c>
      <c r="K229" s="99">
        <f t="shared" si="17"/>
        <v>-250142700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57</v>
      </c>
      <c r="H230" s="99">
        <f t="shared" si="15"/>
        <v>1</v>
      </c>
      <c r="I230" s="99">
        <f t="shared" si="13"/>
        <v>543200000</v>
      </c>
      <c r="J230" s="99">
        <f t="shared" si="20"/>
        <v>0</v>
      </c>
      <c r="K230" s="99">
        <f t="shared" si="17"/>
        <v>543200000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57</v>
      </c>
      <c r="H231" s="99">
        <f t="shared" si="15"/>
        <v>0</v>
      </c>
      <c r="I231" s="99">
        <f t="shared" si="13"/>
        <v>-171051300</v>
      </c>
      <c r="J231" s="99">
        <f t="shared" si="20"/>
        <v>0</v>
      </c>
      <c r="K231" s="99">
        <f t="shared" si="17"/>
        <v>-171051300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56</v>
      </c>
      <c r="H232" s="99">
        <f t="shared" si="15"/>
        <v>0</v>
      </c>
      <c r="I232" s="99">
        <f t="shared" si="13"/>
        <v>-168050400</v>
      </c>
      <c r="J232" s="99">
        <f t="shared" si="20"/>
        <v>0</v>
      </c>
      <c r="K232" s="99">
        <f t="shared" si="17"/>
        <v>-168050400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56</v>
      </c>
      <c r="H233" s="99">
        <f t="shared" si="15"/>
        <v>0</v>
      </c>
      <c r="I233" s="99">
        <f t="shared" si="13"/>
        <v>-31080000</v>
      </c>
      <c r="J233" s="99">
        <f t="shared" si="20"/>
        <v>0</v>
      </c>
      <c r="K233" s="99">
        <f t="shared" si="17"/>
        <v>-31080000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55</v>
      </c>
      <c r="H234" s="99">
        <f t="shared" si="15"/>
        <v>0</v>
      </c>
      <c r="I234" s="99">
        <f t="shared" si="13"/>
        <v>-7609800</v>
      </c>
      <c r="J234" s="99">
        <f t="shared" si="20"/>
        <v>0</v>
      </c>
      <c r="K234" s="99">
        <f t="shared" si="17"/>
        <v>-7609800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54</v>
      </c>
      <c r="H235" s="99">
        <f t="shared" si="15"/>
        <v>0</v>
      </c>
      <c r="I235" s="99">
        <f t="shared" si="13"/>
        <v>-162048600</v>
      </c>
      <c r="J235" s="99">
        <f t="shared" si="20"/>
        <v>0</v>
      </c>
      <c r="K235" s="99">
        <f t="shared" si="17"/>
        <v>-162048600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52</v>
      </c>
      <c r="H236" s="99">
        <f t="shared" si="15"/>
        <v>0</v>
      </c>
      <c r="I236" s="99">
        <f t="shared" si="13"/>
        <v>-2860000</v>
      </c>
      <c r="J236" s="99">
        <f t="shared" si="20"/>
        <v>0</v>
      </c>
      <c r="K236" s="99">
        <f t="shared" si="17"/>
        <v>-2860000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48</v>
      </c>
      <c r="H237" s="99">
        <f t="shared" si="15"/>
        <v>1</v>
      </c>
      <c r="I237" s="99">
        <f t="shared" si="13"/>
        <v>283645000</v>
      </c>
      <c r="J237" s="99">
        <f t="shared" si="20"/>
        <v>0</v>
      </c>
      <c r="K237" s="99">
        <f t="shared" si="17"/>
        <v>283645000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46</v>
      </c>
      <c r="H238" s="99">
        <f t="shared" si="15"/>
        <v>0</v>
      </c>
      <c r="I238" s="99">
        <f t="shared" si="13"/>
        <v>-345000</v>
      </c>
      <c r="J238" s="99">
        <f t="shared" si="20"/>
        <v>0</v>
      </c>
      <c r="K238" s="99">
        <f t="shared" si="17"/>
        <v>-345000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45</v>
      </c>
      <c r="H239" s="99">
        <f t="shared" si="15"/>
        <v>0</v>
      </c>
      <c r="I239" s="99">
        <f t="shared" si="13"/>
        <v>-184433535</v>
      </c>
      <c r="J239" s="99">
        <f t="shared" si="20"/>
        <v>0</v>
      </c>
      <c r="K239" s="99">
        <f t="shared" si="17"/>
        <v>-184433535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45</v>
      </c>
      <c r="H240" s="99">
        <f t="shared" si="15"/>
        <v>0</v>
      </c>
      <c r="I240" s="99">
        <f t="shared" si="13"/>
        <v>-1495125</v>
      </c>
      <c r="J240" s="99">
        <f t="shared" si="20"/>
        <v>0</v>
      </c>
      <c r="K240" s="99">
        <f t="shared" si="17"/>
        <v>-1495125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45</v>
      </c>
      <c r="H241" s="99">
        <f t="shared" si="15"/>
        <v>0</v>
      </c>
      <c r="I241" s="99">
        <f t="shared" si="13"/>
        <v>-85275000</v>
      </c>
      <c r="J241" s="99">
        <f t="shared" si="20"/>
        <v>0</v>
      </c>
      <c r="K241" s="99">
        <f t="shared" si="17"/>
        <v>-85275000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38</v>
      </c>
      <c r="H242" s="99">
        <f t="shared" si="15"/>
        <v>1</v>
      </c>
      <c r="I242" s="99">
        <f t="shared" si="13"/>
        <v>92500000</v>
      </c>
      <c r="J242" s="99">
        <f t="shared" si="20"/>
        <v>0</v>
      </c>
      <c r="K242" s="99">
        <f t="shared" si="17"/>
        <v>92500000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36</v>
      </c>
      <c r="H243" s="99">
        <f t="shared" si="15"/>
        <v>0</v>
      </c>
      <c r="I243" s="99">
        <f t="shared" si="13"/>
        <v>-90000000</v>
      </c>
      <c r="J243" s="99">
        <f t="shared" si="20"/>
        <v>0</v>
      </c>
      <c r="K243" s="99">
        <f t="shared" si="17"/>
        <v>-90000000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34</v>
      </c>
      <c r="H244" s="99">
        <f t="shared" si="15"/>
        <v>1</v>
      </c>
      <c r="I244" s="99">
        <f t="shared" si="13"/>
        <v>36300000</v>
      </c>
      <c r="J244" s="99">
        <f t="shared" si="20"/>
        <v>0</v>
      </c>
      <c r="K244" s="99">
        <f t="shared" si="17"/>
        <v>36300000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32</v>
      </c>
      <c r="H245" s="99">
        <f t="shared" si="15"/>
        <v>1</v>
      </c>
      <c r="I245" s="99">
        <f t="shared" si="13"/>
        <v>93000000</v>
      </c>
      <c r="J245" s="99">
        <f t="shared" si="20"/>
        <v>0</v>
      </c>
      <c r="K245" s="99">
        <f t="shared" si="17"/>
        <v>93000000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30</v>
      </c>
      <c r="H246" s="99">
        <f t="shared" si="15"/>
        <v>0</v>
      </c>
      <c r="I246" s="99">
        <f t="shared" si="13"/>
        <v>-121221000</v>
      </c>
      <c r="J246" s="99">
        <f t="shared" si="20"/>
        <v>0</v>
      </c>
      <c r="K246" s="99">
        <f t="shared" si="17"/>
        <v>-121221000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30</v>
      </c>
      <c r="H247" s="99">
        <f t="shared" si="15"/>
        <v>1</v>
      </c>
      <c r="I247" s="99">
        <f t="shared" si="13"/>
        <v>14210000</v>
      </c>
      <c r="J247" s="99">
        <f t="shared" si="20"/>
        <v>0</v>
      </c>
      <c r="K247" s="99">
        <f t="shared" si="17"/>
        <v>14210000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29</v>
      </c>
      <c r="H248" s="99">
        <f t="shared" si="15"/>
        <v>1</v>
      </c>
      <c r="I248" s="99">
        <f t="shared" si="13"/>
        <v>39200000</v>
      </c>
      <c r="J248" s="99">
        <f t="shared" si="20"/>
        <v>0</v>
      </c>
      <c r="K248" s="99">
        <f t="shared" si="17"/>
        <v>39200000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29</v>
      </c>
      <c r="H249" s="99">
        <f t="shared" si="15"/>
        <v>0</v>
      </c>
      <c r="I249" s="99">
        <f t="shared" si="13"/>
        <v>-43500000</v>
      </c>
      <c r="J249" s="99">
        <f t="shared" si="20"/>
        <v>0</v>
      </c>
      <c r="K249" s="99">
        <f t="shared" si="17"/>
        <v>-43500000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28</v>
      </c>
      <c r="H250" s="99">
        <f t="shared" si="15"/>
        <v>0</v>
      </c>
      <c r="I250" s="99">
        <f t="shared" si="13"/>
        <v>-2800000</v>
      </c>
      <c r="J250" s="99">
        <f t="shared" si="20"/>
        <v>0</v>
      </c>
      <c r="K250" s="99">
        <f t="shared" si="17"/>
        <v>-2800000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27</v>
      </c>
      <c r="H251" s="99">
        <f t="shared" si="15"/>
        <v>0</v>
      </c>
      <c r="I251" s="99">
        <f t="shared" si="13"/>
        <v>-375300</v>
      </c>
      <c r="J251" s="99">
        <f t="shared" si="20"/>
        <v>0</v>
      </c>
      <c r="K251" s="99">
        <f t="shared" si="17"/>
        <v>-375300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27</v>
      </c>
      <c r="H252" s="99">
        <f t="shared" si="15"/>
        <v>1</v>
      </c>
      <c r="I252" s="99">
        <f t="shared" si="13"/>
        <v>7800000</v>
      </c>
      <c r="J252" s="99">
        <f t="shared" si="20"/>
        <v>0</v>
      </c>
      <c r="K252" s="99">
        <f t="shared" si="17"/>
        <v>7800000</v>
      </c>
    </row>
    <row r="253" spans="1:13">
      <c r="A253" s="99" t="s">
        <v>4510</v>
      </c>
      <c r="B253" s="18">
        <v>12000000</v>
      </c>
      <c r="C253" s="18">
        <v>0</v>
      </c>
      <c r="D253" s="18">
        <f t="shared" si="18"/>
        <v>12000000</v>
      </c>
      <c r="E253" s="99" t="s">
        <v>4511</v>
      </c>
      <c r="F253" s="99">
        <v>1</v>
      </c>
      <c r="G253" s="36">
        <f t="shared" si="21"/>
        <v>25</v>
      </c>
      <c r="H253" s="99">
        <f t="shared" si="15"/>
        <v>1</v>
      </c>
      <c r="I253" s="99">
        <f t="shared" si="13"/>
        <v>288000000</v>
      </c>
      <c r="J253" s="99">
        <f t="shared" si="20"/>
        <v>0</v>
      </c>
      <c r="K253" s="99">
        <f t="shared" si="17"/>
        <v>288000000</v>
      </c>
    </row>
    <row r="254" spans="1:13">
      <c r="A254" s="99" t="s">
        <v>4512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24</v>
      </c>
      <c r="H254" s="99">
        <f t="shared" si="15"/>
        <v>1</v>
      </c>
      <c r="I254" s="99">
        <f t="shared" si="13"/>
        <v>69000000</v>
      </c>
      <c r="J254" s="99">
        <f t="shared" si="20"/>
        <v>0</v>
      </c>
      <c r="K254" s="99">
        <f t="shared" si="17"/>
        <v>69000000</v>
      </c>
    </row>
    <row r="255" spans="1:13">
      <c r="A255" s="99" t="s">
        <v>4514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23</v>
      </c>
      <c r="H255" s="99">
        <f t="shared" si="15"/>
        <v>0</v>
      </c>
      <c r="I255" s="99">
        <f t="shared" si="13"/>
        <v>-322000000</v>
      </c>
      <c r="J255" s="99">
        <f t="shared" si="20"/>
        <v>0</v>
      </c>
      <c r="K255" s="99">
        <f t="shared" si="17"/>
        <v>-322000000</v>
      </c>
    </row>
    <row r="256" spans="1:13">
      <c r="A256" s="99" t="s">
        <v>4516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22</v>
      </c>
      <c r="H256" s="99">
        <f t="shared" si="15"/>
        <v>0</v>
      </c>
      <c r="I256" s="99">
        <f t="shared" si="13"/>
        <v>-2749318</v>
      </c>
      <c r="J256" s="99">
        <f t="shared" si="20"/>
        <v>0</v>
      </c>
      <c r="K256" s="99">
        <f t="shared" si="17"/>
        <v>-2749318</v>
      </c>
    </row>
    <row r="257" spans="1:13">
      <c r="A257" s="99" t="s">
        <v>4516</v>
      </c>
      <c r="B257" s="18">
        <v>0</v>
      </c>
      <c r="C257" s="39">
        <v>-7968789</v>
      </c>
      <c r="D257" s="39">
        <f t="shared" si="18"/>
        <v>7968789</v>
      </c>
      <c r="E257" s="99" t="s">
        <v>4520</v>
      </c>
      <c r="F257" s="99">
        <v>1</v>
      </c>
      <c r="G257" s="36">
        <f t="shared" si="21"/>
        <v>22</v>
      </c>
      <c r="H257" s="99">
        <f t="shared" si="15"/>
        <v>0</v>
      </c>
      <c r="I257" s="99">
        <f t="shared" si="13"/>
        <v>0</v>
      </c>
      <c r="J257" s="99">
        <f t="shared" si="20"/>
        <v>-175313358</v>
      </c>
      <c r="K257" s="99">
        <f t="shared" si="17"/>
        <v>175313358</v>
      </c>
    </row>
    <row r="258" spans="1:13">
      <c r="A258" s="99" t="s">
        <v>4522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21</v>
      </c>
      <c r="H258" s="99">
        <f t="shared" si="15"/>
        <v>0</v>
      </c>
      <c r="I258" s="99">
        <f t="shared" si="13"/>
        <v>-27573000</v>
      </c>
      <c r="J258" s="99">
        <f t="shared" si="20"/>
        <v>0</v>
      </c>
      <c r="K258" s="99">
        <f t="shared" si="17"/>
        <v>-27573000</v>
      </c>
    </row>
    <row r="259" spans="1:13">
      <c r="A259" s="99" t="s">
        <v>4536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18</v>
      </c>
      <c r="H259" s="99">
        <f t="shared" si="15"/>
        <v>1</v>
      </c>
      <c r="I259" s="99">
        <f t="shared" si="13"/>
        <v>34000000</v>
      </c>
      <c r="J259" s="99">
        <f t="shared" si="20"/>
        <v>0</v>
      </c>
      <c r="K259" s="99">
        <f t="shared" si="17"/>
        <v>34000000</v>
      </c>
      <c r="M259" t="s">
        <v>25</v>
      </c>
    </row>
    <row r="260" spans="1:13">
      <c r="A260" s="99" t="s">
        <v>4537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17</v>
      </c>
      <c r="H260" s="99">
        <f t="shared" si="15"/>
        <v>0</v>
      </c>
      <c r="I260" s="99">
        <f t="shared" si="13"/>
        <v>-32300000</v>
      </c>
      <c r="J260" s="99">
        <f t="shared" si="20"/>
        <v>0</v>
      </c>
      <c r="K260" s="99">
        <f t="shared" si="17"/>
        <v>-32300000</v>
      </c>
    </row>
    <row r="261" spans="1:13">
      <c r="A261" s="99" t="s">
        <v>4537</v>
      </c>
      <c r="B261" s="18">
        <v>-100500</v>
      </c>
      <c r="C261" s="18">
        <v>0</v>
      </c>
      <c r="D261" s="18">
        <f t="shared" si="18"/>
        <v>-100500</v>
      </c>
      <c r="E261" s="99" t="s">
        <v>4540</v>
      </c>
      <c r="F261" s="99">
        <v>0</v>
      </c>
      <c r="G261" s="36">
        <f t="shared" si="21"/>
        <v>17</v>
      </c>
      <c r="H261" s="99">
        <f t="shared" si="15"/>
        <v>0</v>
      </c>
      <c r="I261" s="99">
        <f t="shared" si="13"/>
        <v>-1708500</v>
      </c>
      <c r="J261" s="99">
        <f t="shared" si="20"/>
        <v>0</v>
      </c>
      <c r="K261" s="99">
        <f t="shared" si="17"/>
        <v>-1708500</v>
      </c>
    </row>
    <row r="262" spans="1:13">
      <c r="A262" s="99" t="s">
        <v>4537</v>
      </c>
      <c r="B262" s="18">
        <v>-68670</v>
      </c>
      <c r="C262" s="18">
        <v>0</v>
      </c>
      <c r="D262" s="18">
        <f t="shared" si="18"/>
        <v>-68670</v>
      </c>
      <c r="E262" s="99" t="s">
        <v>4545</v>
      </c>
      <c r="F262" s="99">
        <v>1</v>
      </c>
      <c r="G262" s="36">
        <f t="shared" si="21"/>
        <v>17</v>
      </c>
      <c r="H262" s="99">
        <f t="shared" si="15"/>
        <v>0</v>
      </c>
      <c r="I262" s="99">
        <f t="shared" si="13"/>
        <v>-1167390</v>
      </c>
      <c r="J262" s="99">
        <f t="shared" si="20"/>
        <v>0</v>
      </c>
      <c r="K262" s="99">
        <f t="shared" si="17"/>
        <v>-1167390</v>
      </c>
    </row>
    <row r="263" spans="1:13">
      <c r="A263" s="99" t="s">
        <v>4541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16</v>
      </c>
      <c r="H263" s="99">
        <f t="shared" si="15"/>
        <v>0</v>
      </c>
      <c r="I263" s="99">
        <f t="shared" si="13"/>
        <v>-1897600</v>
      </c>
      <c r="J263" s="99">
        <f t="shared" si="20"/>
        <v>0</v>
      </c>
      <c r="K263" s="99">
        <f t="shared" si="17"/>
        <v>-1897600</v>
      </c>
      <c r="L263" t="s">
        <v>25</v>
      </c>
    </row>
    <row r="264" spans="1:13">
      <c r="A264" s="99" t="s">
        <v>4556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14</v>
      </c>
      <c r="H264" s="99">
        <f t="shared" si="15"/>
        <v>1</v>
      </c>
      <c r="I264" s="99">
        <f t="shared" si="13"/>
        <v>88127000</v>
      </c>
      <c r="J264" s="99">
        <f t="shared" si="20"/>
        <v>0</v>
      </c>
      <c r="K264" s="99">
        <f t="shared" si="17"/>
        <v>88127000</v>
      </c>
    </row>
    <row r="265" spans="1:13">
      <c r="A265" s="99" t="s">
        <v>4556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14</v>
      </c>
      <c r="H265" s="99">
        <f t="shared" si="15"/>
        <v>0</v>
      </c>
      <c r="I265" s="99">
        <f t="shared" si="13"/>
        <v>-89600000</v>
      </c>
      <c r="J265" s="99">
        <f t="shared" si="20"/>
        <v>0</v>
      </c>
      <c r="K265" s="99">
        <f t="shared" si="17"/>
        <v>-89600000</v>
      </c>
    </row>
    <row r="266" spans="1:13">
      <c r="A266" s="99" t="s">
        <v>4556</v>
      </c>
      <c r="B266" s="18">
        <v>-389000</v>
      </c>
      <c r="C266" s="18">
        <v>0</v>
      </c>
      <c r="D266" s="18">
        <f t="shared" si="18"/>
        <v>-389000</v>
      </c>
      <c r="E266" s="99" t="s">
        <v>4560</v>
      </c>
      <c r="F266" s="99">
        <v>4</v>
      </c>
      <c r="G266" s="36">
        <f t="shared" si="21"/>
        <v>14</v>
      </c>
      <c r="H266" s="99">
        <f t="shared" si="15"/>
        <v>0</v>
      </c>
      <c r="I266" s="99">
        <f t="shared" si="13"/>
        <v>-5446000</v>
      </c>
      <c r="J266" s="99">
        <f t="shared" si="20"/>
        <v>0</v>
      </c>
      <c r="K266" s="99">
        <f t="shared" si="17"/>
        <v>-5446000</v>
      </c>
      <c r="M266" t="s">
        <v>25</v>
      </c>
    </row>
    <row r="267" spans="1:13">
      <c r="A267" s="99" t="s">
        <v>4585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10</v>
      </c>
      <c r="H267" s="99">
        <f t="shared" si="15"/>
        <v>1</v>
      </c>
      <c r="I267" s="99">
        <f t="shared" si="13"/>
        <v>1980000</v>
      </c>
      <c r="J267" s="99">
        <f t="shared" si="20"/>
        <v>0</v>
      </c>
      <c r="K267" s="99">
        <f t="shared" si="17"/>
        <v>1980000</v>
      </c>
    </row>
    <row r="268" spans="1:13">
      <c r="A268" s="99" t="s">
        <v>4586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10</v>
      </c>
      <c r="H268" s="99">
        <f t="shared" si="15"/>
        <v>0</v>
      </c>
      <c r="I268" s="99">
        <f t="shared" si="13"/>
        <v>-1093900</v>
      </c>
      <c r="J268" s="99">
        <f t="shared" si="20"/>
        <v>0</v>
      </c>
      <c r="K268" s="99">
        <f t="shared" si="17"/>
        <v>-1093900</v>
      </c>
    </row>
    <row r="269" spans="1:13">
      <c r="A269" s="99" t="s">
        <v>4589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8</v>
      </c>
      <c r="H269" s="99">
        <f t="shared" si="15"/>
        <v>1</v>
      </c>
      <c r="I269" s="99">
        <f t="shared" si="13"/>
        <v>700000</v>
      </c>
      <c r="J269" s="99">
        <f t="shared" si="20"/>
        <v>0</v>
      </c>
      <c r="K269" s="99">
        <f t="shared" si="17"/>
        <v>700000</v>
      </c>
    </row>
    <row r="270" spans="1:13">
      <c r="A270" s="99" t="s">
        <v>4589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8</v>
      </c>
      <c r="H270" s="99">
        <f t="shared" si="15"/>
        <v>1</v>
      </c>
      <c r="I270" s="99">
        <f t="shared" si="13"/>
        <v>18200000</v>
      </c>
      <c r="J270" s="99">
        <f t="shared" si="20"/>
        <v>0</v>
      </c>
      <c r="K270" s="99">
        <f t="shared" si="17"/>
        <v>18200000</v>
      </c>
      <c r="L270" t="s">
        <v>25</v>
      </c>
    </row>
    <row r="271" spans="1:13">
      <c r="A271" s="99" t="s">
        <v>4596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7</v>
      </c>
      <c r="H271" s="99">
        <f t="shared" si="15"/>
        <v>1</v>
      </c>
      <c r="I271" s="99">
        <f t="shared" si="13"/>
        <v>26400000</v>
      </c>
      <c r="J271" s="99">
        <f t="shared" si="20"/>
        <v>0</v>
      </c>
      <c r="K271" s="99">
        <f t="shared" si="17"/>
        <v>26400000</v>
      </c>
    </row>
    <row r="272" spans="1:13">
      <c r="A272" s="99" t="s">
        <v>4596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7</v>
      </c>
      <c r="H272" s="99">
        <f t="shared" si="15"/>
        <v>0</v>
      </c>
      <c r="I272" s="99">
        <f t="shared" si="13"/>
        <v>-665000</v>
      </c>
      <c r="J272" s="99">
        <f t="shared" si="20"/>
        <v>0</v>
      </c>
      <c r="K272" s="99">
        <f t="shared" si="17"/>
        <v>-665000</v>
      </c>
    </row>
    <row r="273" spans="1:11">
      <c r="A273" s="99" t="s">
        <v>4601</v>
      </c>
      <c r="B273" s="18">
        <v>-900000</v>
      </c>
      <c r="C273" s="18">
        <v>0</v>
      </c>
      <c r="D273" s="18">
        <f t="shared" si="18"/>
        <v>-900000</v>
      </c>
      <c r="E273" s="99" t="s">
        <v>4610</v>
      </c>
      <c r="F273" s="99">
        <v>1</v>
      </c>
      <c r="G273" s="36">
        <f t="shared" si="21"/>
        <v>6</v>
      </c>
      <c r="H273" s="99">
        <f t="shared" si="15"/>
        <v>0</v>
      </c>
      <c r="I273" s="99">
        <f t="shared" si="13"/>
        <v>-5400000</v>
      </c>
      <c r="J273" s="99">
        <f t="shared" si="20"/>
        <v>0</v>
      </c>
      <c r="K273" s="99">
        <f t="shared" si="17"/>
        <v>-5400000</v>
      </c>
    </row>
    <row r="274" spans="1:11">
      <c r="A274" s="99" t="s">
        <v>4607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5</v>
      </c>
      <c r="H274" s="99">
        <f t="shared" si="15"/>
        <v>1</v>
      </c>
      <c r="I274" s="99">
        <f t="shared" si="13"/>
        <v>10000000</v>
      </c>
      <c r="J274" s="99">
        <f t="shared" si="20"/>
        <v>0</v>
      </c>
      <c r="K274" s="99">
        <f t="shared" si="17"/>
        <v>10000000</v>
      </c>
    </row>
    <row r="275" spans="1:11">
      <c r="A275" s="99" t="s">
        <v>4607</v>
      </c>
      <c r="B275" s="18">
        <v>-1287000</v>
      </c>
      <c r="C275" s="18">
        <v>0</v>
      </c>
      <c r="D275" s="18">
        <f t="shared" si="18"/>
        <v>-1287000</v>
      </c>
      <c r="E275" s="99" t="s">
        <v>4608</v>
      </c>
      <c r="F275" s="99">
        <v>2</v>
      </c>
      <c r="G275" s="36">
        <f t="shared" si="21"/>
        <v>5</v>
      </c>
      <c r="H275" s="99">
        <f t="shared" si="15"/>
        <v>0</v>
      </c>
      <c r="I275" s="99">
        <f t="shared" si="13"/>
        <v>-6435000</v>
      </c>
      <c r="J275" s="99">
        <f t="shared" si="20"/>
        <v>0</v>
      </c>
      <c r="K275" s="99">
        <f t="shared" si="17"/>
        <v>-6435000</v>
      </c>
    </row>
    <row r="276" spans="1:11">
      <c r="A276" s="99" t="s">
        <v>4603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3</v>
      </c>
      <c r="H276" s="99">
        <f t="shared" si="15"/>
        <v>1</v>
      </c>
      <c r="I276" s="99">
        <f t="shared" si="13"/>
        <v>7600000</v>
      </c>
      <c r="J276" s="99">
        <f t="shared" si="20"/>
        <v>0</v>
      </c>
      <c r="K276" s="99">
        <f t="shared" si="17"/>
        <v>7600000</v>
      </c>
    </row>
    <row r="277" spans="1:11">
      <c r="A277" s="99" t="s">
        <v>4619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2</v>
      </c>
      <c r="H277" s="99">
        <f t="shared" si="15"/>
        <v>1</v>
      </c>
      <c r="I277" s="99">
        <f t="shared" si="13"/>
        <v>21000000</v>
      </c>
      <c r="J277" s="99">
        <f t="shared" si="20"/>
        <v>0</v>
      </c>
      <c r="K277" s="99">
        <f t="shared" si="17"/>
        <v>21000000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</v>
      </c>
      <c r="H278" s="99">
        <f t="shared" si="15"/>
        <v>1</v>
      </c>
      <c r="I278" s="99">
        <f t="shared" si="13"/>
        <v>0</v>
      </c>
      <c r="J278" s="99">
        <f t="shared" si="20"/>
        <v>0</v>
      </c>
      <c r="K278" s="99">
        <f t="shared" si="17"/>
        <v>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</v>
      </c>
      <c r="H279" s="99">
        <f t="shared" si="15"/>
        <v>1</v>
      </c>
      <c r="I279" s="99">
        <f t="shared" si="13"/>
        <v>0</v>
      </c>
      <c r="J279" s="99">
        <f t="shared" si="20"/>
        <v>0</v>
      </c>
      <c r="K279" s="99">
        <f t="shared" si="17"/>
        <v>0</v>
      </c>
    </row>
    <row r="280" spans="1:11">
      <c r="A280" s="99"/>
      <c r="B280" s="18"/>
      <c r="C280" s="18"/>
      <c r="D280" s="18"/>
      <c r="E280" s="99"/>
      <c r="F280" s="99"/>
      <c r="G280" s="36">
        <f t="shared" si="21"/>
        <v>0</v>
      </c>
      <c r="H280" s="99">
        <f t="shared" si="15"/>
        <v>0</v>
      </c>
      <c r="I280" s="99">
        <f t="shared" si="13"/>
        <v>0</v>
      </c>
      <c r="J280" s="99">
        <f t="shared" si="20"/>
        <v>0</v>
      </c>
      <c r="K280" s="99">
        <f t="shared" si="17"/>
        <v>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37236041</v>
      </c>
      <c r="C286" s="29">
        <f>SUM(C2:C285)</f>
        <v>0</v>
      </c>
      <c r="D286" s="29">
        <f>SUM(D2:D285)</f>
        <v>37236041</v>
      </c>
      <c r="E286" s="11"/>
      <c r="F286" s="11"/>
      <c r="G286" s="11"/>
      <c r="H286" s="11"/>
      <c r="I286" s="29">
        <f>SUM(I2:I285)</f>
        <v>18899927343</v>
      </c>
      <c r="J286" s="29">
        <f>SUM(J2:J285)</f>
        <v>8687685429</v>
      </c>
      <c r="K286" s="29">
        <f>SUM(K2:K285)</f>
        <v>10212241914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18975830.66566265</v>
      </c>
      <c r="J289" s="29">
        <f>J286/G2</f>
        <v>8722575.7319277115</v>
      </c>
      <c r="K289" s="29">
        <f>K286/G2</f>
        <v>10253254.93373494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38432680</v>
      </c>
      <c r="G293" t="s">
        <v>25</v>
      </c>
      <c r="J293">
        <f>J286/I286*1448696</f>
        <v>665918.70443946519</v>
      </c>
      <c r="K293">
        <f>K286/I286*1448696</f>
        <v>782777.29556053469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4619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G262" sqref="G262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943</v>
      </c>
      <c r="E2" s="11">
        <f>IF(B2&gt;0,1,0)</f>
        <v>1</v>
      </c>
      <c r="F2" s="11">
        <f>B2*(D2-E2)</f>
        <v>91091400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941</v>
      </c>
      <c r="E3" s="11">
        <f t="shared" ref="E3:E66" si="1">IF(B3&gt;0,1,0)</f>
        <v>1</v>
      </c>
      <c r="F3" s="11">
        <f t="shared" ref="F3:F66" si="2">B3*(D3-E3)</f>
        <v>2820000000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938</v>
      </c>
      <c r="E4" s="11">
        <f t="shared" si="1"/>
        <v>0</v>
      </c>
      <c r="F4" s="11">
        <f t="shared" si="2"/>
        <v>-187600000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936</v>
      </c>
      <c r="E5" s="11">
        <f t="shared" si="1"/>
        <v>0</v>
      </c>
      <c r="F5" s="11">
        <f t="shared" si="2"/>
        <v>-93600000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935</v>
      </c>
      <c r="E6" s="11">
        <f t="shared" si="1"/>
        <v>0</v>
      </c>
      <c r="F6" s="11">
        <f t="shared" si="2"/>
        <v>-51425000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934</v>
      </c>
      <c r="E7" s="11">
        <f t="shared" si="1"/>
        <v>0</v>
      </c>
      <c r="F7" s="11">
        <f t="shared" si="2"/>
        <v>-186800000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930</v>
      </c>
      <c r="E8" s="11">
        <f t="shared" si="1"/>
        <v>0</v>
      </c>
      <c r="F8" s="11">
        <f t="shared" si="2"/>
        <v>-186000000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920</v>
      </c>
      <c r="E9" s="11">
        <f t="shared" si="1"/>
        <v>0</v>
      </c>
      <c r="F9" s="11">
        <f t="shared" si="2"/>
        <v>-874460000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919</v>
      </c>
      <c r="E10" s="11">
        <f t="shared" si="1"/>
        <v>1</v>
      </c>
      <c r="F10" s="11">
        <f t="shared" si="2"/>
        <v>1836000000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917</v>
      </c>
      <c r="E11" s="11">
        <f t="shared" si="1"/>
        <v>0</v>
      </c>
      <c r="F11" s="11">
        <f t="shared" si="2"/>
        <v>-976605000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914</v>
      </c>
      <c r="E12" s="11">
        <f t="shared" si="1"/>
        <v>0</v>
      </c>
      <c r="F12" s="11">
        <f t="shared" si="2"/>
        <v>-41130000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913</v>
      </c>
      <c r="E13" s="11">
        <f t="shared" si="1"/>
        <v>0</v>
      </c>
      <c r="F13" s="11">
        <f t="shared" si="2"/>
        <v>-1826639100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909</v>
      </c>
      <c r="E14" s="11">
        <f t="shared" si="1"/>
        <v>0</v>
      </c>
      <c r="F14" s="11">
        <f t="shared" si="2"/>
        <v>-181800000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907</v>
      </c>
      <c r="E15" s="11">
        <f t="shared" si="1"/>
        <v>1</v>
      </c>
      <c r="F15" s="11">
        <f t="shared" si="2"/>
        <v>1812000000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907</v>
      </c>
      <c r="E16" s="11">
        <f t="shared" si="1"/>
        <v>1</v>
      </c>
      <c r="F16" s="11">
        <f t="shared" si="2"/>
        <v>1812000000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907</v>
      </c>
      <c r="E17" s="11">
        <f t="shared" si="1"/>
        <v>1</v>
      </c>
      <c r="F17" s="11">
        <f t="shared" si="2"/>
        <v>1087200000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907</v>
      </c>
      <c r="E18" s="11">
        <f t="shared" si="1"/>
        <v>1</v>
      </c>
      <c r="F18" s="11">
        <f t="shared" si="2"/>
        <v>906000000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906</v>
      </c>
      <c r="E19" s="11">
        <f t="shared" si="1"/>
        <v>1</v>
      </c>
      <c r="F19" s="11">
        <f t="shared" si="2"/>
        <v>2715000000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906</v>
      </c>
      <c r="E20" s="11">
        <f t="shared" si="1"/>
        <v>0</v>
      </c>
      <c r="F20" s="11">
        <f t="shared" si="2"/>
        <v>-392026200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906</v>
      </c>
      <c r="E21" s="11">
        <f t="shared" si="1"/>
        <v>0</v>
      </c>
      <c r="F21" s="11">
        <f t="shared" si="2"/>
        <v>-392026200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906</v>
      </c>
      <c r="E22" s="11">
        <f t="shared" si="1"/>
        <v>0</v>
      </c>
      <c r="F22" s="11">
        <f t="shared" si="2"/>
        <v>-392026200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906</v>
      </c>
      <c r="E23" s="11">
        <f t="shared" si="1"/>
        <v>0</v>
      </c>
      <c r="F23" s="11">
        <f t="shared" si="2"/>
        <v>-392026200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906</v>
      </c>
      <c r="E24" s="11">
        <f t="shared" si="1"/>
        <v>0</v>
      </c>
      <c r="F24" s="11">
        <f t="shared" si="2"/>
        <v>-392026200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906</v>
      </c>
      <c r="E25" s="11">
        <f t="shared" si="1"/>
        <v>0</v>
      </c>
      <c r="F25" s="11">
        <f t="shared" si="2"/>
        <v>-181200000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905</v>
      </c>
      <c r="E26" s="11">
        <f t="shared" si="1"/>
        <v>1</v>
      </c>
      <c r="F26" s="11">
        <f t="shared" si="2"/>
        <v>2712000000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903</v>
      </c>
      <c r="E27" s="11">
        <f t="shared" si="1"/>
        <v>0</v>
      </c>
      <c r="F27" s="11">
        <f t="shared" si="2"/>
        <v>-180600000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902</v>
      </c>
      <c r="E28" s="11">
        <f t="shared" si="1"/>
        <v>1</v>
      </c>
      <c r="F28" s="11">
        <f t="shared" si="2"/>
        <v>1802000000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901</v>
      </c>
      <c r="E29" s="11">
        <f t="shared" si="1"/>
        <v>0</v>
      </c>
      <c r="F29" s="11">
        <f t="shared" si="2"/>
        <v>-6307720800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900</v>
      </c>
      <c r="E30" s="11">
        <f t="shared" si="1"/>
        <v>0</v>
      </c>
      <c r="F30" s="11">
        <f t="shared" si="2"/>
        <v>-2700810000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899</v>
      </c>
      <c r="E31" s="11">
        <f t="shared" si="1"/>
        <v>0</v>
      </c>
      <c r="F31" s="11">
        <f t="shared" si="2"/>
        <v>-1524614100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896</v>
      </c>
      <c r="E32" s="11">
        <f t="shared" si="1"/>
        <v>1</v>
      </c>
      <c r="F32" s="11">
        <f t="shared" si="2"/>
        <v>889898500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890</v>
      </c>
      <c r="E33" s="11">
        <f t="shared" si="1"/>
        <v>1</v>
      </c>
      <c r="F33" s="11">
        <f t="shared" si="2"/>
        <v>31195899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889</v>
      </c>
      <c r="E34" s="11">
        <f t="shared" si="1"/>
        <v>0</v>
      </c>
      <c r="F34" s="11">
        <f t="shared" si="2"/>
        <v>-755650000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881</v>
      </c>
      <c r="E35" s="11">
        <f t="shared" si="1"/>
        <v>0</v>
      </c>
      <c r="F35" s="11">
        <f t="shared" si="2"/>
        <v>-167830500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880</v>
      </c>
      <c r="E36" s="11">
        <f t="shared" si="1"/>
        <v>1</v>
      </c>
      <c r="F36" s="11">
        <f t="shared" si="2"/>
        <v>175800000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880</v>
      </c>
      <c r="E37" s="11">
        <f t="shared" si="1"/>
        <v>0</v>
      </c>
      <c r="F37" s="11">
        <f t="shared" si="2"/>
        <v>-176000000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858</v>
      </c>
      <c r="E38" s="11">
        <f t="shared" si="1"/>
        <v>1</v>
      </c>
      <c r="F38" s="11">
        <f t="shared" si="2"/>
        <v>257790742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857</v>
      </c>
      <c r="E39" s="11">
        <f t="shared" si="1"/>
        <v>0</v>
      </c>
      <c r="F39" s="11">
        <f t="shared" si="2"/>
        <v>-81415000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857</v>
      </c>
      <c r="E40" s="11">
        <f t="shared" si="1"/>
        <v>0</v>
      </c>
      <c r="F40" s="11">
        <f t="shared" si="2"/>
        <v>-75504271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852</v>
      </c>
      <c r="E41" s="11">
        <f t="shared" si="1"/>
        <v>0</v>
      </c>
      <c r="F41" s="11">
        <f t="shared" si="2"/>
        <v>-102240000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830</v>
      </c>
      <c r="E42" s="11">
        <f t="shared" si="1"/>
        <v>1</v>
      </c>
      <c r="F42" s="11">
        <f t="shared" si="2"/>
        <v>829169116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826</v>
      </c>
      <c r="E43" s="11">
        <f t="shared" si="1"/>
        <v>0</v>
      </c>
      <c r="F43" s="11">
        <f t="shared" si="2"/>
        <v>-66080000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822</v>
      </c>
      <c r="E44" s="11">
        <f t="shared" si="1"/>
        <v>0</v>
      </c>
      <c r="F44" s="11">
        <f t="shared" si="2"/>
        <v>-173465838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821</v>
      </c>
      <c r="E45" s="11">
        <f t="shared" si="1"/>
        <v>0</v>
      </c>
      <c r="F45" s="11">
        <f t="shared" si="2"/>
        <v>-164200000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820</v>
      </c>
      <c r="E46" s="11">
        <f t="shared" si="1"/>
        <v>0</v>
      </c>
      <c r="F46" s="11">
        <f t="shared" si="2"/>
        <v>-77900000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818</v>
      </c>
      <c r="E47" s="11">
        <f t="shared" si="1"/>
        <v>0</v>
      </c>
      <c r="F47" s="11">
        <f t="shared" si="2"/>
        <v>-36810000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818</v>
      </c>
      <c r="E48" s="11">
        <f t="shared" si="1"/>
        <v>0</v>
      </c>
      <c r="F48" s="11">
        <f t="shared" si="2"/>
        <v>-52499240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815</v>
      </c>
      <c r="E49" s="11">
        <f t="shared" si="1"/>
        <v>0</v>
      </c>
      <c r="F49" s="11">
        <f t="shared" si="2"/>
        <v>-22399460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814</v>
      </c>
      <c r="E50" s="11">
        <f t="shared" si="1"/>
        <v>0</v>
      </c>
      <c r="F50" s="11">
        <f t="shared" si="2"/>
        <v>-114774000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814</v>
      </c>
      <c r="E51" s="11">
        <f t="shared" si="1"/>
        <v>0</v>
      </c>
      <c r="F51" s="11">
        <f t="shared" si="2"/>
        <v>-21771244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813</v>
      </c>
      <c r="E52" s="11">
        <f t="shared" si="1"/>
        <v>0</v>
      </c>
      <c r="F52" s="11">
        <f t="shared" si="2"/>
        <v>-43332900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812</v>
      </c>
      <c r="E53" s="11">
        <f t="shared" si="1"/>
        <v>1</v>
      </c>
      <c r="F53" s="11">
        <f t="shared" si="2"/>
        <v>811000000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806</v>
      </c>
      <c r="E54" s="11">
        <f t="shared" si="1"/>
        <v>0</v>
      </c>
      <c r="F54" s="11">
        <f t="shared" si="2"/>
        <v>-16926000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805</v>
      </c>
      <c r="E55" s="11">
        <f t="shared" si="1"/>
        <v>0</v>
      </c>
      <c r="F55" s="11">
        <f t="shared" si="2"/>
        <v>-789302500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805</v>
      </c>
      <c r="E56" s="11">
        <f t="shared" si="1"/>
        <v>0</v>
      </c>
      <c r="F56" s="11">
        <f t="shared" si="2"/>
        <v>-36225000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792</v>
      </c>
      <c r="E57" s="11">
        <f t="shared" si="1"/>
        <v>1</v>
      </c>
      <c r="F57" s="11">
        <f t="shared" si="2"/>
        <v>2377104499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792</v>
      </c>
      <c r="E58" s="11">
        <f t="shared" si="1"/>
        <v>1</v>
      </c>
      <c r="F58" s="11">
        <f t="shared" si="2"/>
        <v>1582000000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791</v>
      </c>
      <c r="E59" s="11">
        <f t="shared" si="1"/>
        <v>1</v>
      </c>
      <c r="F59" s="11">
        <f t="shared" si="2"/>
        <v>1580000000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791</v>
      </c>
      <c r="E60" s="11">
        <f t="shared" si="1"/>
        <v>0</v>
      </c>
      <c r="F60" s="11">
        <f t="shared" si="2"/>
        <v>-5538186500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767</v>
      </c>
      <c r="E61" s="11">
        <f t="shared" si="1"/>
        <v>1</v>
      </c>
      <c r="F61" s="11">
        <f t="shared" si="2"/>
        <v>2298000000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766</v>
      </c>
      <c r="E62" s="11">
        <f t="shared" si="1"/>
        <v>0</v>
      </c>
      <c r="F62" s="11">
        <f t="shared" si="2"/>
        <v>-20765494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766</v>
      </c>
      <c r="E63" s="11">
        <f t="shared" si="1"/>
        <v>0</v>
      </c>
      <c r="F63" s="11">
        <f t="shared" si="2"/>
        <v>-25269574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766</v>
      </c>
      <c r="E64" s="11">
        <f t="shared" si="1"/>
        <v>1</v>
      </c>
      <c r="F64" s="11">
        <f t="shared" si="2"/>
        <v>2295000000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766</v>
      </c>
      <c r="E65" s="11">
        <f t="shared" si="1"/>
        <v>1</v>
      </c>
      <c r="F65" s="11">
        <f t="shared" si="2"/>
        <v>2272050000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766</v>
      </c>
      <c r="E66" s="11">
        <f t="shared" si="1"/>
        <v>1</v>
      </c>
      <c r="F66" s="11">
        <f t="shared" si="2"/>
        <v>765000000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766</v>
      </c>
      <c r="E67" s="11">
        <f t="shared" ref="E67:E130" si="4">IF(B67&gt;0,1,0)</f>
        <v>1</v>
      </c>
      <c r="F67" s="11">
        <f t="shared" ref="F67:F248" si="5">B67*(D67-E67)</f>
        <v>22950000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765</v>
      </c>
      <c r="E68" s="11">
        <f t="shared" si="4"/>
        <v>1</v>
      </c>
      <c r="F68" s="11">
        <f t="shared" si="5"/>
        <v>22920000000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764</v>
      </c>
      <c r="E69" s="11">
        <f t="shared" si="4"/>
        <v>0</v>
      </c>
      <c r="F69" s="11">
        <f t="shared" si="5"/>
        <v>-152800000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764</v>
      </c>
      <c r="E70" s="11">
        <f t="shared" si="4"/>
        <v>1</v>
      </c>
      <c r="F70" s="11">
        <f t="shared" si="5"/>
        <v>1068200000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764</v>
      </c>
      <c r="E71" s="11">
        <f t="shared" si="4"/>
        <v>1</v>
      </c>
      <c r="F71" s="11">
        <f t="shared" si="5"/>
        <v>1983800000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764</v>
      </c>
      <c r="E72" s="11">
        <f t="shared" si="4"/>
        <v>0</v>
      </c>
      <c r="F72" s="11">
        <f t="shared" si="5"/>
        <v>-764000000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762</v>
      </c>
      <c r="E73" s="11">
        <f t="shared" si="4"/>
        <v>1</v>
      </c>
      <c r="F73" s="11">
        <f t="shared" si="5"/>
        <v>11415000000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757</v>
      </c>
      <c r="E74" s="11">
        <f t="shared" si="4"/>
        <v>0</v>
      </c>
      <c r="F74" s="11">
        <f t="shared" si="5"/>
        <v>-11358179400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755</v>
      </c>
      <c r="E75" s="11">
        <f t="shared" si="4"/>
        <v>0</v>
      </c>
      <c r="F75" s="11">
        <f t="shared" si="5"/>
        <v>-2265000000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755</v>
      </c>
      <c r="E76" s="11">
        <f t="shared" si="4"/>
        <v>0</v>
      </c>
      <c r="F76" s="11">
        <f t="shared" si="5"/>
        <v>-151000000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755</v>
      </c>
      <c r="E77" s="11">
        <f t="shared" si="4"/>
        <v>0</v>
      </c>
      <c r="F77" s="11">
        <f t="shared" si="5"/>
        <v>-9062265000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751</v>
      </c>
      <c r="E78" s="11">
        <f t="shared" si="4"/>
        <v>0</v>
      </c>
      <c r="F78" s="11">
        <f t="shared" si="5"/>
        <v>-2253675900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746</v>
      </c>
      <c r="E79" s="11">
        <f t="shared" si="4"/>
        <v>1</v>
      </c>
      <c r="F79" s="11">
        <f t="shared" si="5"/>
        <v>17135000000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741</v>
      </c>
      <c r="E80" s="11">
        <f t="shared" si="4"/>
        <v>0</v>
      </c>
      <c r="F80" s="11">
        <f t="shared" si="5"/>
        <v>-444970500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741</v>
      </c>
      <c r="E81" s="11">
        <f t="shared" si="4"/>
        <v>0</v>
      </c>
      <c r="F81" s="11">
        <f t="shared" si="5"/>
        <v>-148200000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740</v>
      </c>
      <c r="E82" s="11">
        <f t="shared" si="4"/>
        <v>1</v>
      </c>
      <c r="F82" s="11">
        <f t="shared" si="5"/>
        <v>209300319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740</v>
      </c>
      <c r="E83" s="11">
        <f t="shared" si="4"/>
        <v>0</v>
      </c>
      <c r="F83" s="11">
        <f t="shared" si="5"/>
        <v>-148000000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738</v>
      </c>
      <c r="E84" s="11">
        <f t="shared" si="4"/>
        <v>1</v>
      </c>
      <c r="F84" s="11">
        <f t="shared" si="5"/>
        <v>1474000000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735</v>
      </c>
      <c r="E85" s="11">
        <f t="shared" si="4"/>
        <v>0</v>
      </c>
      <c r="F85" s="11">
        <f t="shared" si="5"/>
        <v>-147000000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729</v>
      </c>
      <c r="E86" s="11">
        <f t="shared" si="4"/>
        <v>0</v>
      </c>
      <c r="F86" s="11">
        <f t="shared" si="5"/>
        <v>-145800000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727</v>
      </c>
      <c r="E87" s="11">
        <f t="shared" si="4"/>
        <v>0</v>
      </c>
      <c r="F87" s="11">
        <f t="shared" si="5"/>
        <v>-963275000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712</v>
      </c>
      <c r="E88" s="11">
        <f t="shared" si="4"/>
        <v>0</v>
      </c>
      <c r="F88" s="11">
        <f t="shared" si="5"/>
        <v>-356000000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712</v>
      </c>
      <c r="E89" s="11">
        <f t="shared" si="4"/>
        <v>0</v>
      </c>
      <c r="F89" s="11">
        <f t="shared" si="5"/>
        <v>-85440000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710</v>
      </c>
      <c r="E90" s="11">
        <f t="shared" si="4"/>
        <v>1</v>
      </c>
      <c r="F90" s="11">
        <f t="shared" si="5"/>
        <v>303597345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707</v>
      </c>
      <c r="E91" s="11">
        <f t="shared" si="4"/>
        <v>0</v>
      </c>
      <c r="F91" s="11">
        <f t="shared" si="5"/>
        <v>-2122414000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705</v>
      </c>
      <c r="E92" s="11">
        <f t="shared" si="4"/>
        <v>0</v>
      </c>
      <c r="F92" s="11">
        <f t="shared" si="5"/>
        <v>-144525000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705</v>
      </c>
      <c r="E93" s="11">
        <f t="shared" si="4"/>
        <v>0</v>
      </c>
      <c r="F93" s="11">
        <f t="shared" si="5"/>
        <v>-247102500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694</v>
      </c>
      <c r="E94" s="11">
        <f t="shared" si="4"/>
        <v>1</v>
      </c>
      <c r="F94" s="11">
        <f t="shared" si="5"/>
        <v>693000000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689</v>
      </c>
      <c r="E95" s="11">
        <f t="shared" si="4"/>
        <v>1</v>
      </c>
      <c r="F95" s="11">
        <f t="shared" si="5"/>
        <v>6192000000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687</v>
      </c>
      <c r="E96" s="11">
        <f t="shared" si="4"/>
        <v>0</v>
      </c>
      <c r="F96" s="11">
        <f t="shared" si="5"/>
        <v>-17862000000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687</v>
      </c>
      <c r="E97" s="11">
        <f t="shared" si="4"/>
        <v>0</v>
      </c>
      <c r="F97" s="11">
        <f t="shared" si="5"/>
        <v>-17862000000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687</v>
      </c>
      <c r="E98" s="11">
        <f t="shared" si="4"/>
        <v>1</v>
      </c>
      <c r="F98" s="11">
        <f t="shared" si="5"/>
        <v>17836000000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687</v>
      </c>
      <c r="E99" s="11">
        <f t="shared" si="4"/>
        <v>0</v>
      </c>
      <c r="F99" s="11">
        <f t="shared" si="5"/>
        <v>-137400000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685</v>
      </c>
      <c r="E100" s="11">
        <f t="shared" si="4"/>
        <v>1</v>
      </c>
      <c r="F100" s="11">
        <f t="shared" si="5"/>
        <v>19972800000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680</v>
      </c>
      <c r="E101" s="11">
        <f t="shared" si="4"/>
        <v>1</v>
      </c>
      <c r="F101" s="11">
        <f t="shared" si="5"/>
        <v>271562655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679</v>
      </c>
      <c r="E102" s="11">
        <f t="shared" si="4"/>
        <v>1</v>
      </c>
      <c r="F102" s="11">
        <f t="shared" si="5"/>
        <v>1356000000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678</v>
      </c>
      <c r="E103" s="11">
        <f t="shared" si="4"/>
        <v>1</v>
      </c>
      <c r="F103" s="11">
        <f t="shared" si="5"/>
        <v>5077500000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678</v>
      </c>
      <c r="E104" s="11">
        <f t="shared" si="4"/>
        <v>0</v>
      </c>
      <c r="F104" s="11">
        <f t="shared" si="5"/>
        <v>-44748000000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678</v>
      </c>
      <c r="E105" s="11">
        <f t="shared" si="4"/>
        <v>0</v>
      </c>
      <c r="F105" s="11">
        <f t="shared" si="5"/>
        <v>-98310000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676</v>
      </c>
      <c r="E106" s="11">
        <f t="shared" si="4"/>
        <v>1</v>
      </c>
      <c r="F106" s="11">
        <f t="shared" si="5"/>
        <v>4050000000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674</v>
      </c>
      <c r="E107" s="11">
        <f t="shared" si="4"/>
        <v>0</v>
      </c>
      <c r="F107" s="11">
        <f t="shared" si="5"/>
        <v>-4047976600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671</v>
      </c>
      <c r="E108" s="11">
        <f t="shared" si="4"/>
        <v>1</v>
      </c>
      <c r="F108" s="11">
        <f t="shared" si="5"/>
        <v>4020000000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659</v>
      </c>
      <c r="E109" s="11">
        <f t="shared" si="4"/>
        <v>0</v>
      </c>
      <c r="F109" s="11">
        <f t="shared" si="5"/>
        <v>-79080000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658</v>
      </c>
      <c r="E110" s="11">
        <f t="shared" si="4"/>
        <v>1</v>
      </c>
      <c r="F110" s="11">
        <f t="shared" si="5"/>
        <v>2628000000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657</v>
      </c>
      <c r="E111" s="11">
        <f t="shared" si="4"/>
        <v>1</v>
      </c>
      <c r="F111" s="11">
        <f t="shared" si="5"/>
        <v>1836800000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653</v>
      </c>
      <c r="E112" s="11">
        <f t="shared" si="4"/>
        <v>0</v>
      </c>
      <c r="F112" s="11">
        <f t="shared" si="5"/>
        <v>-130600000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652</v>
      </c>
      <c r="E113" s="11">
        <f t="shared" si="4"/>
        <v>1</v>
      </c>
      <c r="F113" s="11">
        <f t="shared" si="5"/>
        <v>47073810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635</v>
      </c>
      <c r="E114" s="11">
        <f t="shared" si="4"/>
        <v>0</v>
      </c>
      <c r="F114" s="11">
        <f t="shared" si="5"/>
        <v>-127000000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634</v>
      </c>
      <c r="E115" s="11">
        <f t="shared" si="4"/>
        <v>0</v>
      </c>
      <c r="F115" s="23">
        <f t="shared" si="5"/>
        <v>-6974000000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634</v>
      </c>
      <c r="E116" s="11">
        <f t="shared" si="4"/>
        <v>0</v>
      </c>
      <c r="F116" s="11">
        <f t="shared" si="5"/>
        <v>-126800000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632</v>
      </c>
      <c r="E117" s="11">
        <f t="shared" si="4"/>
        <v>0</v>
      </c>
      <c r="F117" s="11">
        <f t="shared" si="5"/>
        <v>-284716000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632</v>
      </c>
      <c r="E118" s="11">
        <f t="shared" si="4"/>
        <v>0</v>
      </c>
      <c r="F118" s="11">
        <f t="shared" si="5"/>
        <v>-126400000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626</v>
      </c>
      <c r="E119" s="11">
        <f t="shared" si="4"/>
        <v>0</v>
      </c>
      <c r="F119" s="11">
        <f t="shared" si="5"/>
        <v>-96748300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626</v>
      </c>
      <c r="E120" s="11">
        <f t="shared" si="4"/>
        <v>0</v>
      </c>
      <c r="F120" s="11">
        <f t="shared" si="5"/>
        <v>-200320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625</v>
      </c>
      <c r="E121" s="11">
        <f t="shared" si="4"/>
        <v>0</v>
      </c>
      <c r="F121" s="11">
        <f t="shared" si="5"/>
        <v>-270000000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619</v>
      </c>
      <c r="E122" s="11">
        <f t="shared" si="4"/>
        <v>1</v>
      </c>
      <c r="F122" s="11">
        <f t="shared" si="5"/>
        <v>45758574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598</v>
      </c>
      <c r="E123" s="11">
        <f t="shared" si="4"/>
        <v>0</v>
      </c>
      <c r="F123" s="11">
        <f t="shared" si="5"/>
        <v>-31096000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557</v>
      </c>
      <c r="E124" s="11">
        <f t="shared" si="4"/>
        <v>1</v>
      </c>
      <c r="F124" s="11">
        <f t="shared" si="5"/>
        <v>659972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556</v>
      </c>
      <c r="E125" s="11">
        <f t="shared" si="4"/>
        <v>1</v>
      </c>
      <c r="F125" s="11">
        <f t="shared" si="5"/>
        <v>1332000000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554</v>
      </c>
      <c r="E126" s="11">
        <f t="shared" si="4"/>
        <v>1</v>
      </c>
      <c r="F126" s="11">
        <f t="shared" si="5"/>
        <v>742568400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554</v>
      </c>
      <c r="E127" s="11">
        <f t="shared" si="4"/>
        <v>1</v>
      </c>
      <c r="F127" s="11">
        <f t="shared" si="5"/>
        <v>742568400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542</v>
      </c>
      <c r="E128" s="11">
        <f t="shared" si="4"/>
        <v>0</v>
      </c>
      <c r="F128" s="11">
        <f t="shared" si="5"/>
        <v>-108400000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540</v>
      </c>
      <c r="E129" s="11">
        <f t="shared" si="4"/>
        <v>0</v>
      </c>
      <c r="F129" s="11">
        <f>B129*(D129-E129)</f>
        <v>-8433720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539</v>
      </c>
      <c r="E130" s="11">
        <f t="shared" si="4"/>
        <v>0</v>
      </c>
      <c r="F130" s="11">
        <f t="shared" si="5"/>
        <v>-107800000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538</v>
      </c>
      <c r="E131" s="11">
        <f t="shared" ref="E131:E248" si="7">IF(B131&gt;0,1,0)</f>
        <v>0</v>
      </c>
      <c r="F131" s="11">
        <f t="shared" si="5"/>
        <v>-107600000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537</v>
      </c>
      <c r="E132" s="11">
        <f t="shared" si="7"/>
        <v>0</v>
      </c>
      <c r="F132" s="11">
        <f t="shared" si="5"/>
        <v>-209430000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537</v>
      </c>
      <c r="E133" s="11">
        <f t="shared" si="7"/>
        <v>0</v>
      </c>
      <c r="F133" s="11">
        <f t="shared" si="5"/>
        <v>-13156500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536</v>
      </c>
      <c r="E134" s="11">
        <f t="shared" si="7"/>
        <v>0</v>
      </c>
      <c r="F134" s="11">
        <f t="shared" si="5"/>
        <v>-50920000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532</v>
      </c>
      <c r="E135" s="11">
        <f t="shared" si="7"/>
        <v>0</v>
      </c>
      <c r="F135" s="11">
        <f t="shared" si="5"/>
        <v>-106400000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530</v>
      </c>
      <c r="E136" s="11">
        <f t="shared" si="7"/>
        <v>1</v>
      </c>
      <c r="F136" s="11">
        <f t="shared" si="5"/>
        <v>26450000000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529</v>
      </c>
      <c r="E137" s="11">
        <f t="shared" si="7"/>
        <v>1</v>
      </c>
      <c r="F137" s="11">
        <f t="shared" si="5"/>
        <v>6336000000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527</v>
      </c>
      <c r="E138" s="11">
        <f t="shared" si="7"/>
        <v>1</v>
      </c>
      <c r="F138" s="11">
        <f t="shared" si="5"/>
        <v>1052000000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526</v>
      </c>
      <c r="E139" s="11">
        <f t="shared" si="7"/>
        <v>1</v>
      </c>
      <c r="F139" s="11">
        <f t="shared" si="5"/>
        <v>45957450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513</v>
      </c>
      <c r="E140" s="11">
        <f t="shared" si="7"/>
        <v>0</v>
      </c>
      <c r="F140" s="11">
        <f t="shared" si="5"/>
        <v>-1539461700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512</v>
      </c>
      <c r="E141" s="11">
        <f t="shared" si="7"/>
        <v>0</v>
      </c>
      <c r="F141" s="11">
        <f t="shared" si="5"/>
        <v>-1536460800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495</v>
      </c>
      <c r="E142" s="11">
        <f t="shared" si="7"/>
        <v>1</v>
      </c>
      <c r="F142" s="11">
        <f t="shared" si="5"/>
        <v>297400350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495</v>
      </c>
      <c r="E143" s="11">
        <f t="shared" si="7"/>
        <v>0</v>
      </c>
      <c r="F143" s="11">
        <f t="shared" si="5"/>
        <v>-22770000000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464</v>
      </c>
      <c r="E144" s="11">
        <f t="shared" si="7"/>
        <v>1</v>
      </c>
      <c r="F144" s="11">
        <f t="shared" si="5"/>
        <v>71351541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463</v>
      </c>
      <c r="E145" s="11">
        <f t="shared" si="7"/>
        <v>1</v>
      </c>
      <c r="F145" s="11">
        <f t="shared" si="5"/>
        <v>1386000000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460</v>
      </c>
      <c r="E146" s="11">
        <f t="shared" si="7"/>
        <v>0</v>
      </c>
      <c r="F146" s="11">
        <f t="shared" si="5"/>
        <v>-92000000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455</v>
      </c>
      <c r="E147" s="11">
        <f t="shared" si="7"/>
        <v>0</v>
      </c>
      <c r="F147" s="11">
        <f t="shared" si="5"/>
        <v>-91000000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454</v>
      </c>
      <c r="E148" s="11">
        <f t="shared" si="7"/>
        <v>0</v>
      </c>
      <c r="F148" s="11">
        <f t="shared" si="5"/>
        <v>-90800000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450</v>
      </c>
      <c r="E149" s="11">
        <f t="shared" si="7"/>
        <v>0</v>
      </c>
      <c r="F149" s="11">
        <f t="shared" si="5"/>
        <v>-90000000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449</v>
      </c>
      <c r="E150" s="11">
        <f t="shared" si="7"/>
        <v>1</v>
      </c>
      <c r="F150" s="11">
        <f t="shared" si="5"/>
        <v>10784883200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447</v>
      </c>
      <c r="E151" s="11">
        <f t="shared" si="7"/>
        <v>0</v>
      </c>
      <c r="F151" s="11">
        <f t="shared" si="5"/>
        <v>-89400000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441</v>
      </c>
      <c r="E152" s="11">
        <f t="shared" si="7"/>
        <v>0</v>
      </c>
      <c r="F152" s="11">
        <f t="shared" si="5"/>
        <v>-13230000000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440</v>
      </c>
      <c r="E153" s="11">
        <f t="shared" si="7"/>
        <v>0</v>
      </c>
      <c r="F153" s="11">
        <f t="shared" si="5"/>
        <v>-22880000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440</v>
      </c>
      <c r="E154" s="11">
        <f t="shared" si="7"/>
        <v>0</v>
      </c>
      <c r="F154" s="11">
        <f t="shared" si="5"/>
        <v>-59840000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435</v>
      </c>
      <c r="E155" s="11">
        <f t="shared" si="7"/>
        <v>1</v>
      </c>
      <c r="F155" s="11">
        <f t="shared" si="5"/>
        <v>1302000000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434</v>
      </c>
      <c r="E156" s="11">
        <f t="shared" si="7"/>
        <v>1</v>
      </c>
      <c r="F156" s="11">
        <f t="shared" si="5"/>
        <v>81881599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434</v>
      </c>
      <c r="E157" s="11">
        <f t="shared" si="7"/>
        <v>1</v>
      </c>
      <c r="F157" s="11">
        <f t="shared" si="5"/>
        <v>10490594100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426</v>
      </c>
      <c r="E158" s="11">
        <f t="shared" si="7"/>
        <v>1</v>
      </c>
      <c r="F158" s="11">
        <f t="shared" si="5"/>
        <v>10325460000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426</v>
      </c>
      <c r="E159" s="11">
        <f t="shared" si="7"/>
        <v>0</v>
      </c>
      <c r="F159" s="11">
        <f t="shared" si="5"/>
        <v>-85626000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421</v>
      </c>
      <c r="E160" s="11">
        <f t="shared" si="7"/>
        <v>0</v>
      </c>
      <c r="F160" s="11">
        <f t="shared" si="5"/>
        <v>-84200000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418</v>
      </c>
      <c r="E161" s="11">
        <f t="shared" si="7"/>
        <v>0</v>
      </c>
      <c r="F161" s="11">
        <f t="shared" si="5"/>
        <v>-83600000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414</v>
      </c>
      <c r="E162" s="11">
        <f t="shared" si="7"/>
        <v>0</v>
      </c>
      <c r="F162" s="11">
        <f t="shared" si="5"/>
        <v>-82800000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411</v>
      </c>
      <c r="E163" s="11">
        <f t="shared" si="7"/>
        <v>0</v>
      </c>
      <c r="F163" s="11">
        <f t="shared" si="5"/>
        <v>-82200000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404</v>
      </c>
      <c r="E164" s="11">
        <f t="shared" si="7"/>
        <v>1</v>
      </c>
      <c r="F164" s="11">
        <f t="shared" si="5"/>
        <v>184442622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401</v>
      </c>
      <c r="E165" s="11">
        <f t="shared" si="7"/>
        <v>1</v>
      </c>
      <c r="F165" s="11">
        <f t="shared" si="5"/>
        <v>1080000000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401</v>
      </c>
      <c r="E166" s="11">
        <f t="shared" si="7"/>
        <v>1</v>
      </c>
      <c r="F166" s="11">
        <f t="shared" si="5"/>
        <v>1000000000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394</v>
      </c>
      <c r="E167" s="11">
        <f t="shared" si="7"/>
        <v>0</v>
      </c>
      <c r="F167" s="11">
        <f t="shared" si="5"/>
        <v>-78800000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392</v>
      </c>
      <c r="E168" s="11">
        <f t="shared" si="7"/>
        <v>0</v>
      </c>
      <c r="F168" s="11">
        <f t="shared" si="5"/>
        <v>-78400000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386</v>
      </c>
      <c r="E169" s="11">
        <f t="shared" si="7"/>
        <v>0</v>
      </c>
      <c r="F169" s="11">
        <f t="shared" si="5"/>
        <v>-77200000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383</v>
      </c>
      <c r="E170" s="11">
        <f t="shared" si="7"/>
        <v>0</v>
      </c>
      <c r="F170" s="11">
        <f t="shared" si="5"/>
        <v>-76600000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383</v>
      </c>
      <c r="E171" s="11">
        <f t="shared" si="7"/>
        <v>1</v>
      </c>
      <c r="F171" s="11">
        <f t="shared" si="5"/>
        <v>1146000000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380</v>
      </c>
      <c r="E172" s="11">
        <f t="shared" si="7"/>
        <v>0</v>
      </c>
      <c r="F172" s="11">
        <f t="shared" si="5"/>
        <v>-76000000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379</v>
      </c>
      <c r="E173" s="11">
        <f t="shared" si="7"/>
        <v>1</v>
      </c>
      <c r="F173" s="11">
        <f t="shared" si="5"/>
        <v>1134000000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378</v>
      </c>
      <c r="E174" s="11">
        <f t="shared" si="7"/>
        <v>1</v>
      </c>
      <c r="F174" s="11">
        <f t="shared" si="5"/>
        <v>754000000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377</v>
      </c>
      <c r="E175" s="11">
        <f t="shared" si="7"/>
        <v>1</v>
      </c>
      <c r="F175" s="11">
        <f t="shared" si="5"/>
        <v>488800000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375</v>
      </c>
      <c r="E176" s="11">
        <f t="shared" si="7"/>
        <v>0</v>
      </c>
      <c r="F176" s="11">
        <f t="shared" si="5"/>
        <v>-75000000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375</v>
      </c>
      <c r="E177" s="11">
        <f t="shared" si="7"/>
        <v>1</v>
      </c>
      <c r="F177" s="11">
        <f t="shared" si="5"/>
        <v>635800000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374</v>
      </c>
      <c r="E178" s="11">
        <f t="shared" si="7"/>
        <v>0</v>
      </c>
      <c r="F178" s="11">
        <f t="shared" si="5"/>
        <v>-74800000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373</v>
      </c>
      <c r="E179" s="11">
        <f t="shared" si="7"/>
        <v>1</v>
      </c>
      <c r="F179" s="11">
        <f t="shared" si="5"/>
        <v>212595024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370</v>
      </c>
      <c r="E180" s="11">
        <f t="shared" si="7"/>
        <v>1</v>
      </c>
      <c r="F180" s="11">
        <f t="shared" si="5"/>
        <v>1107000000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363</v>
      </c>
      <c r="E181" s="11">
        <f t="shared" si="7"/>
        <v>1</v>
      </c>
      <c r="F181" s="11">
        <f t="shared" si="5"/>
        <v>724000000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355</v>
      </c>
      <c r="E182" s="11">
        <f t="shared" si="7"/>
        <v>0</v>
      </c>
      <c r="F182" s="11">
        <f t="shared" si="5"/>
        <v>-781248500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343</v>
      </c>
      <c r="E183" s="11">
        <f t="shared" si="7"/>
        <v>1</v>
      </c>
      <c r="F183" s="11">
        <f t="shared" si="5"/>
        <v>230879754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313</v>
      </c>
      <c r="E184" s="11">
        <f t="shared" si="7"/>
        <v>1</v>
      </c>
      <c r="F184" s="11">
        <f t="shared" si="5"/>
        <v>211224000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298</v>
      </c>
      <c r="E185" s="11">
        <f t="shared" si="7"/>
        <v>0</v>
      </c>
      <c r="F185" s="11">
        <f t="shared" si="5"/>
        <v>-2980000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293</v>
      </c>
      <c r="E186" s="11">
        <f t="shared" si="7"/>
        <v>0</v>
      </c>
      <c r="F186" s="11">
        <f t="shared" si="5"/>
        <v>-23586500000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288</v>
      </c>
      <c r="E187" s="11">
        <f t="shared" si="7"/>
        <v>0</v>
      </c>
      <c r="F187" s="11">
        <f t="shared" si="5"/>
        <v>-316800000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288</v>
      </c>
      <c r="E188" s="11">
        <f t="shared" si="7"/>
        <v>1</v>
      </c>
      <c r="F188" s="11">
        <f t="shared" si="5"/>
        <v>861000000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287</v>
      </c>
      <c r="E189" s="11">
        <f t="shared" si="7"/>
        <v>1</v>
      </c>
      <c r="F189" s="11">
        <f t="shared" si="5"/>
        <v>572000000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287</v>
      </c>
      <c r="E190" s="11">
        <f t="shared" si="7"/>
        <v>0</v>
      </c>
      <c r="F190" s="11">
        <f t="shared" si="5"/>
        <v>-1435000000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286</v>
      </c>
      <c r="E191" s="11">
        <f t="shared" si="7"/>
        <v>1</v>
      </c>
      <c r="F191" s="11">
        <f t="shared" si="5"/>
        <v>137725680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282</v>
      </c>
      <c r="E192" s="11">
        <f t="shared" si="7"/>
        <v>0</v>
      </c>
      <c r="F192" s="11">
        <f t="shared" si="5"/>
        <v>-32514600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278</v>
      </c>
      <c r="E193" s="11">
        <f t="shared" si="7"/>
        <v>1</v>
      </c>
      <c r="F193" s="11">
        <f t="shared" si="5"/>
        <v>24930000000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271</v>
      </c>
      <c r="E194" s="11">
        <f t="shared" si="7"/>
        <v>1</v>
      </c>
      <c r="F194" s="11">
        <f t="shared" si="5"/>
        <v>14040000000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271</v>
      </c>
      <c r="E195" s="11">
        <f t="shared" si="7"/>
        <v>1</v>
      </c>
      <c r="F195" s="99">
        <f t="shared" si="5"/>
        <v>6750000000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271</v>
      </c>
      <c r="E196" s="99">
        <f t="shared" si="7"/>
        <v>0</v>
      </c>
      <c r="F196" s="99">
        <f t="shared" si="5"/>
        <v>-45528000000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264</v>
      </c>
      <c r="E197" s="99">
        <f t="shared" si="7"/>
        <v>0</v>
      </c>
      <c r="F197" s="99">
        <f t="shared" si="5"/>
        <v>-43692000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260</v>
      </c>
      <c r="E198" s="99">
        <f t="shared" si="7"/>
        <v>0</v>
      </c>
      <c r="F198" s="99">
        <f t="shared" si="5"/>
        <v>-52000000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260</v>
      </c>
      <c r="E199" s="99">
        <f t="shared" si="7"/>
        <v>0</v>
      </c>
      <c r="F199" s="99">
        <f t="shared" si="5"/>
        <v>-12215060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257</v>
      </c>
      <c r="E200" s="99">
        <f t="shared" si="7"/>
        <v>0</v>
      </c>
      <c r="F200" s="99">
        <f t="shared" si="5"/>
        <v>-1195050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255</v>
      </c>
      <c r="E201" s="99">
        <f t="shared" si="7"/>
        <v>1</v>
      </c>
      <c r="F201" s="99">
        <f t="shared" si="5"/>
        <v>40596312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252</v>
      </c>
      <c r="E202" s="99">
        <f t="shared" si="7"/>
        <v>0</v>
      </c>
      <c r="F202" s="99">
        <f t="shared" si="5"/>
        <v>-75726000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252</v>
      </c>
      <c r="E203" s="99">
        <f t="shared" si="7"/>
        <v>1</v>
      </c>
      <c r="F203" s="99">
        <f t="shared" si="5"/>
        <v>1506000000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250</v>
      </c>
      <c r="E204" s="99">
        <f t="shared" si="7"/>
        <v>0</v>
      </c>
      <c r="F204" s="99">
        <f t="shared" si="5"/>
        <v>-171250000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249</v>
      </c>
      <c r="E205" s="99">
        <f t="shared" si="7"/>
        <v>0</v>
      </c>
      <c r="F205" s="99">
        <f t="shared" si="5"/>
        <v>-747000000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248</v>
      </c>
      <c r="E206" s="99">
        <f t="shared" si="7"/>
        <v>0</v>
      </c>
      <c r="F206" s="99">
        <f t="shared" si="5"/>
        <v>-38688000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247</v>
      </c>
      <c r="E207" s="99">
        <f t="shared" si="7"/>
        <v>0</v>
      </c>
      <c r="F207" s="99">
        <f t="shared" si="5"/>
        <v>-16302000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246</v>
      </c>
      <c r="E208" s="99">
        <f t="shared" si="7"/>
        <v>0</v>
      </c>
      <c r="F208" s="99">
        <f t="shared" si="5"/>
        <v>-615221400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244</v>
      </c>
      <c r="E209" s="99">
        <f t="shared" si="7"/>
        <v>1</v>
      </c>
      <c r="F209" s="99">
        <f t="shared" si="5"/>
        <v>729000000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244</v>
      </c>
      <c r="E210" s="99">
        <f t="shared" si="7"/>
        <v>0</v>
      </c>
      <c r="F210" s="99">
        <f t="shared" si="5"/>
        <v>-634741600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242</v>
      </c>
      <c r="E211" s="99">
        <f t="shared" si="7"/>
        <v>1</v>
      </c>
      <c r="F211" s="99">
        <f t="shared" si="5"/>
        <v>241000000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240</v>
      </c>
      <c r="E212" s="99">
        <f t="shared" si="7"/>
        <v>1</v>
      </c>
      <c r="F212" s="99">
        <f t="shared" si="5"/>
        <v>322650000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239</v>
      </c>
      <c r="E213" s="99">
        <f t="shared" si="7"/>
        <v>0</v>
      </c>
      <c r="F213" s="99">
        <f t="shared" si="5"/>
        <v>-525800000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239</v>
      </c>
      <c r="E214" s="99">
        <f t="shared" si="7"/>
        <v>0</v>
      </c>
      <c r="F214" s="99">
        <f t="shared" si="5"/>
        <v>-119619500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236</v>
      </c>
      <c r="E215" s="99">
        <f t="shared" si="7"/>
        <v>0</v>
      </c>
      <c r="F215" s="99">
        <f t="shared" si="5"/>
        <v>-10620000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236</v>
      </c>
      <c r="E216" s="99">
        <f t="shared" si="7"/>
        <v>1</v>
      </c>
      <c r="F216" s="99">
        <f t="shared" si="5"/>
        <v>235000000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236</v>
      </c>
      <c r="E217" s="99">
        <f t="shared" si="7"/>
        <v>0</v>
      </c>
      <c r="F217" s="99">
        <f t="shared" si="5"/>
        <v>-23600000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235</v>
      </c>
      <c r="E218" s="99">
        <f t="shared" si="7"/>
        <v>0</v>
      </c>
      <c r="F218" s="99">
        <f t="shared" si="5"/>
        <v>-70500000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232</v>
      </c>
      <c r="E219" s="99">
        <f t="shared" si="7"/>
        <v>0</v>
      </c>
      <c r="F219" s="99">
        <f t="shared" si="5"/>
        <v>-11811120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232</v>
      </c>
      <c r="E220" s="99">
        <f t="shared" si="7"/>
        <v>0</v>
      </c>
      <c r="F220" s="99">
        <f t="shared" si="5"/>
        <v>-127716000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230</v>
      </c>
      <c r="E221" s="99">
        <f t="shared" si="7"/>
        <v>1</v>
      </c>
      <c r="F221" s="99">
        <f t="shared" si="5"/>
        <v>366400000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229</v>
      </c>
      <c r="E222" s="99">
        <f t="shared" si="7"/>
        <v>0</v>
      </c>
      <c r="F222" s="99">
        <f t="shared" si="5"/>
        <v>-343660300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224</v>
      </c>
      <c r="E223" s="99">
        <f t="shared" si="7"/>
        <v>1</v>
      </c>
      <c r="F223" s="99">
        <f t="shared" si="5"/>
        <v>1922037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221</v>
      </c>
      <c r="E224" s="99">
        <f t="shared" si="7"/>
        <v>1</v>
      </c>
      <c r="F224" s="99">
        <f t="shared" si="5"/>
        <v>660000000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219</v>
      </c>
      <c r="E225" s="99">
        <f t="shared" si="7"/>
        <v>0</v>
      </c>
      <c r="F225" s="99">
        <f t="shared" si="5"/>
        <v>-657197100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218</v>
      </c>
      <c r="E226" s="99">
        <f t="shared" si="7"/>
        <v>1</v>
      </c>
      <c r="F226" s="99">
        <f t="shared" si="5"/>
        <v>651000000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218</v>
      </c>
      <c r="E227" s="99">
        <f t="shared" si="7"/>
        <v>0</v>
      </c>
      <c r="F227" s="99">
        <f t="shared" si="5"/>
        <v>-38237200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217</v>
      </c>
      <c r="E228" s="99">
        <f t="shared" si="7"/>
        <v>0</v>
      </c>
      <c r="F228" s="99">
        <f t="shared" si="5"/>
        <v>-260508500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217</v>
      </c>
      <c r="E229" s="99">
        <f t="shared" si="7"/>
        <v>0</v>
      </c>
      <c r="F229" s="99">
        <f t="shared" si="5"/>
        <v>-4460435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216</v>
      </c>
      <c r="E230" s="99">
        <f t="shared" si="7"/>
        <v>0</v>
      </c>
      <c r="F230" s="99">
        <f t="shared" si="5"/>
        <v>-219124656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215</v>
      </c>
      <c r="E231" s="99">
        <f t="shared" si="7"/>
        <v>0</v>
      </c>
      <c r="F231" s="99">
        <f t="shared" si="5"/>
        <v>-5208375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214</v>
      </c>
      <c r="E232" s="99">
        <f t="shared" si="7"/>
        <v>1</v>
      </c>
      <c r="F232" s="99">
        <f t="shared" si="5"/>
        <v>234300000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214</v>
      </c>
      <c r="E233" s="99">
        <f t="shared" si="7"/>
        <v>0</v>
      </c>
      <c r="F233" s="99">
        <f t="shared" si="5"/>
        <v>-31650600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210</v>
      </c>
      <c r="E234" s="99">
        <f t="shared" si="7"/>
        <v>0</v>
      </c>
      <c r="F234" s="99">
        <f t="shared" si="5"/>
        <v>-14272650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205</v>
      </c>
      <c r="E235" s="99">
        <f t="shared" si="7"/>
        <v>0</v>
      </c>
      <c r="F235" s="99">
        <f t="shared" si="5"/>
        <v>-23520470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204</v>
      </c>
      <c r="E236" s="99">
        <f t="shared" si="7"/>
        <v>0</v>
      </c>
      <c r="F236" s="99">
        <f t="shared" si="5"/>
        <v>-73440000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204</v>
      </c>
      <c r="E237" s="99">
        <f t="shared" si="7"/>
        <v>0</v>
      </c>
      <c r="F237" s="99">
        <f t="shared" si="5"/>
        <v>-43044000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204</v>
      </c>
      <c r="E238" s="99">
        <f t="shared" si="7"/>
        <v>0</v>
      </c>
      <c r="F238" s="99">
        <f t="shared" si="5"/>
        <v>-38698800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203</v>
      </c>
      <c r="E239" s="99">
        <f t="shared" si="7"/>
        <v>0</v>
      </c>
      <c r="F239" s="99">
        <f t="shared" si="5"/>
        <v>-81301500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203</v>
      </c>
      <c r="E240" s="99">
        <f t="shared" si="7"/>
        <v>1</v>
      </c>
      <c r="F240" s="99">
        <f t="shared" si="5"/>
        <v>80800000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200</v>
      </c>
      <c r="E241" s="99">
        <f t="shared" si="7"/>
        <v>0</v>
      </c>
      <c r="F241" s="99">
        <f t="shared" si="5"/>
        <v>-64175000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193</v>
      </c>
      <c r="E242" s="99">
        <f t="shared" si="7"/>
        <v>1</v>
      </c>
      <c r="F242" s="99">
        <f t="shared" si="5"/>
        <v>1166208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191</v>
      </c>
      <c r="E243" s="99">
        <f t="shared" si="7"/>
        <v>0</v>
      </c>
      <c r="F243" s="99">
        <f t="shared" si="5"/>
        <v>-70765500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176</v>
      </c>
      <c r="E244" s="99">
        <f t="shared" si="7"/>
        <v>1</v>
      </c>
      <c r="F244" s="99">
        <f t="shared" si="5"/>
        <v>525000000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174</v>
      </c>
      <c r="E245" s="99">
        <f t="shared" si="7"/>
        <v>0</v>
      </c>
      <c r="F245" s="99">
        <f t="shared" si="5"/>
        <v>-13920000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173</v>
      </c>
      <c r="E246" s="99">
        <f t="shared" si="7"/>
        <v>0</v>
      </c>
      <c r="F246" s="99">
        <f t="shared" si="5"/>
        <v>-467100000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173</v>
      </c>
      <c r="E247" s="99">
        <f t="shared" si="7"/>
        <v>0</v>
      </c>
      <c r="F247" s="99">
        <f t="shared" si="5"/>
        <v>-5190000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171</v>
      </c>
      <c r="E248" s="99">
        <f t="shared" si="7"/>
        <v>0</v>
      </c>
      <c r="F248" s="99">
        <f t="shared" si="5"/>
        <v>-20520000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170</v>
      </c>
      <c r="E249" s="99">
        <f>IF(B250&gt;0,1,0)</f>
        <v>1</v>
      </c>
      <c r="F249" s="99">
        <f>B250*(D249-E249)</f>
        <v>135200000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169</v>
      </c>
      <c r="E250" s="99">
        <f>IF(B251&gt;0,1,0)</f>
        <v>0</v>
      </c>
      <c r="F250" s="99">
        <f>B251*(D250-E250)</f>
        <v>-3287050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168</v>
      </c>
      <c r="E251" s="99">
        <f>IF(B252&gt;0,1,0)</f>
        <v>0</v>
      </c>
      <c r="F251" s="99">
        <f>B252*(D251-E251)</f>
        <v>-84000000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168</v>
      </c>
      <c r="E252" s="99">
        <f>IF(B253&gt;0,1,0)</f>
        <v>1</v>
      </c>
      <c r="F252" s="99">
        <f>B253*(D252-E252)</f>
        <v>83500000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168</v>
      </c>
      <c r="E253" s="99">
        <f t="shared" ref="E253:E269" si="9">IF(B254&gt;0,1,0)</f>
        <v>0</v>
      </c>
      <c r="F253" s="99">
        <f>B254*(D253-E253)</f>
        <v>-76374984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168</v>
      </c>
      <c r="E254" s="99">
        <f t="shared" si="9"/>
        <v>0</v>
      </c>
      <c r="F254" s="99">
        <f t="shared" ref="F254:F269" si="10">B255*(D254-E254)</f>
        <v>-3292800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167</v>
      </c>
      <c r="E255" s="99">
        <f t="shared" si="9"/>
        <v>0</v>
      </c>
      <c r="F255" s="99">
        <f t="shared" si="10"/>
        <v>-4211740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167</v>
      </c>
      <c r="E256" s="99">
        <f t="shared" si="9"/>
        <v>0</v>
      </c>
      <c r="F256" s="99">
        <f t="shared" si="10"/>
        <v>-24966500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166</v>
      </c>
      <c r="E257" s="99">
        <f t="shared" si="9"/>
        <v>0</v>
      </c>
      <c r="F257" s="99">
        <f t="shared" si="10"/>
        <v>-25730000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166</v>
      </c>
      <c r="E258" s="99">
        <f t="shared" si="9"/>
        <v>0</v>
      </c>
      <c r="F258" s="99">
        <f t="shared" si="10"/>
        <v>-830000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84</v>
      </c>
      <c r="E259" s="99">
        <f t="shared" si="9"/>
        <v>1</v>
      </c>
      <c r="F259" s="99">
        <f t="shared" si="10"/>
        <v>8300000</v>
      </c>
      <c r="G259" s="99" t="s">
        <v>4249</v>
      </c>
    </row>
    <row r="260" spans="1:11">
      <c r="A260" s="99" t="s">
        <v>4619</v>
      </c>
      <c r="B260" s="113">
        <v>100000</v>
      </c>
      <c r="C260" s="99">
        <v>1</v>
      </c>
      <c r="D260" s="99">
        <f t="shared" si="8"/>
        <v>2</v>
      </c>
      <c r="E260" s="99">
        <f t="shared" si="9"/>
        <v>1</v>
      </c>
      <c r="F260" s="99">
        <f t="shared" si="10"/>
        <v>3000000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1</v>
      </c>
      <c r="D261" s="99">
        <f t="shared" si="8"/>
        <v>1</v>
      </c>
      <c r="E261" s="99">
        <f t="shared" si="9"/>
        <v>0</v>
      </c>
      <c r="F261" s="99">
        <f t="shared" si="10"/>
        <v>0</v>
      </c>
      <c r="G261" s="99" t="s">
        <v>3892</v>
      </c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3100299</v>
      </c>
      <c r="C271" s="11"/>
      <c r="D271" s="11"/>
      <c r="E271" s="11"/>
      <c r="F271" s="29">
        <f>SUM(F2:F269)</f>
        <v>18840974757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19979824.768822905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4619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N70" zoomScaleNormal="100" workbookViewId="0">
      <selection activeCell="S92" sqref="S9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3100299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37236041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99</v>
      </c>
      <c r="T20" s="169" t="s">
        <v>4310</v>
      </c>
      <c r="U20" s="169">
        <v>192.1</v>
      </c>
      <c r="V20" s="169">
        <f>U20*(1+$N$84+$Q$15*S20/36500)</f>
        <v>208.84059397260276</v>
      </c>
      <c r="W20" s="32">
        <f t="shared" ref="W20:W32" si="4">V20*(1+$W$19/100)</f>
        <v>213.01740585205482</v>
      </c>
      <c r="X20" s="32">
        <f t="shared" ref="X20:X32" si="5">V20*(1+$X$19/100)</f>
        <v>217.19421773150688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270</v>
      </c>
      <c r="AM20" s="113">
        <f>AJ20*AL20</f>
        <v>4860000000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-N31</f>
        <v>79881901.260852188</v>
      </c>
      <c r="M21" s="169" t="s">
        <v>4302</v>
      </c>
      <c r="N21" s="113">
        <f t="shared" ref="N21:N28" si="6">O21*P21</f>
        <v>12553747.800000001</v>
      </c>
      <c r="O21" s="99">
        <v>72231</v>
      </c>
      <c r="P21" s="188">
        <f>P42</f>
        <v>173.8</v>
      </c>
      <c r="Q21" s="170">
        <v>1450345</v>
      </c>
      <c r="R21" s="169" t="s">
        <v>4306</v>
      </c>
      <c r="S21" s="194">
        <f>S20-36</f>
        <v>63</v>
      </c>
      <c r="T21" s="169" t="s">
        <v>4311</v>
      </c>
      <c r="U21" s="169">
        <v>313.7</v>
      </c>
      <c r="V21" s="169">
        <f>U21*(1+$N$84+$Q$15*S21/36500)</f>
        <v>332.37417424657536</v>
      </c>
      <c r="W21" s="32">
        <f t="shared" si="4"/>
        <v>339.02165773150688</v>
      </c>
      <c r="X21" s="32">
        <f t="shared" si="5"/>
        <v>345.66914121643839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269</v>
      </c>
      <c r="AM21" s="113">
        <f t="shared" ref="AM21:AM115" si="8">AJ21*AL21</f>
        <v>672500000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6"/>
        <v>8135041.5999999996</v>
      </c>
      <c r="O22" s="99">
        <v>28504</v>
      </c>
      <c r="P22" s="188">
        <f>P44</f>
        <v>285.39999999999998</v>
      </c>
      <c r="Q22" s="170">
        <v>400069</v>
      </c>
      <c r="R22" s="169" t="s">
        <v>4312</v>
      </c>
      <c r="S22" s="194">
        <f>S21-1</f>
        <v>62</v>
      </c>
      <c r="T22" s="169" t="s">
        <v>4313</v>
      </c>
      <c r="U22" s="169">
        <v>314.8</v>
      </c>
      <c r="V22" s="169">
        <f>U22*(1+$N$84+$Q$15*S22/36500)</f>
        <v>333.29816547945205</v>
      </c>
      <c r="W22" s="32">
        <f t="shared" si="4"/>
        <v>339.96412878904113</v>
      </c>
      <c r="X22" s="32">
        <f t="shared" si="5"/>
        <v>346.63009209863014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268</v>
      </c>
      <c r="AM22" s="113">
        <f t="shared" si="8"/>
        <v>2144000000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6"/>
        <v>3710609.1</v>
      </c>
      <c r="O23" s="99">
        <v>781</v>
      </c>
      <c r="P23" s="99">
        <f>P45</f>
        <v>4751.1000000000004</v>
      </c>
      <c r="Q23" s="170">
        <v>7118256</v>
      </c>
      <c r="R23" s="169" t="s">
        <v>4312</v>
      </c>
      <c r="S23" s="194">
        <f>S22</f>
        <v>62</v>
      </c>
      <c r="T23" s="169" t="s">
        <v>4561</v>
      </c>
      <c r="U23" s="169">
        <v>313</v>
      </c>
      <c r="V23" s="169">
        <f>U23*(1+$N$84+$Q$15*S23/36500)</f>
        <v>331.39239452054795</v>
      </c>
      <c r="W23" s="32">
        <f t="shared" si="4"/>
        <v>338.02024241095893</v>
      </c>
      <c r="X23" s="32">
        <f t="shared" si="5"/>
        <v>344.6480903013699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7"/>
        <v>267</v>
      </c>
      <c r="AM23" s="113">
        <f t="shared" si="8"/>
        <v>-21240384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L64</f>
        <v>257539400.26085222</v>
      </c>
      <c r="G24" s="95">
        <f t="shared" si="0"/>
        <v>22766945.121086419</v>
      </c>
      <c r="H24" s="11"/>
      <c r="I24" s="96"/>
      <c r="J24" s="96"/>
      <c r="K24" s="169"/>
      <c r="L24" s="117"/>
      <c r="M24" s="169" t="s">
        <v>4532</v>
      </c>
      <c r="N24" s="113">
        <f t="shared" si="6"/>
        <v>46507.3</v>
      </c>
      <c r="O24" s="69">
        <v>79</v>
      </c>
      <c r="P24" s="99">
        <f>P48</f>
        <v>588.70000000000005</v>
      </c>
      <c r="Q24" s="170">
        <v>595156</v>
      </c>
      <c r="R24" s="169" t="s">
        <v>4399</v>
      </c>
      <c r="S24" s="195">
        <f>S23-16</f>
        <v>46</v>
      </c>
      <c r="T24" s="169" t="s">
        <v>4402</v>
      </c>
      <c r="U24" s="169">
        <v>5808.5</v>
      </c>
      <c r="V24" s="169">
        <f>U24*(1+$N$84+$Q$15*S24/36500)</f>
        <v>6078.5236383561651</v>
      </c>
      <c r="W24" s="32">
        <f t="shared" si="4"/>
        <v>6200.0941111232887</v>
      </c>
      <c r="X24" s="32">
        <f t="shared" si="5"/>
        <v>6321.6645838904114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266</v>
      </c>
      <c r="AM24" s="113">
        <f t="shared" si="8"/>
        <v>44023000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39</v>
      </c>
      <c r="T25" s="19" t="s">
        <v>4440</v>
      </c>
      <c r="U25" s="169">
        <v>5474</v>
      </c>
      <c r="V25" s="169">
        <f>U25*(1+$N$84+$Q$15*S25/36500)</f>
        <v>5699.0788821917813</v>
      </c>
      <c r="W25" s="32">
        <f t="shared" si="4"/>
        <v>5813.0604598356167</v>
      </c>
      <c r="X25" s="32">
        <f t="shared" si="5"/>
        <v>5927.042037479453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7"/>
        <v>254</v>
      </c>
      <c r="AM25" s="113">
        <f t="shared" si="8"/>
        <v>-7322903058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4468</v>
      </c>
      <c r="N26" s="113">
        <v>9</v>
      </c>
      <c r="O26" s="69"/>
      <c r="P26" s="99"/>
      <c r="Q26" s="170">
        <v>2197673</v>
      </c>
      <c r="R26" s="169" t="s">
        <v>4437</v>
      </c>
      <c r="S26" s="169">
        <f>S25</f>
        <v>39</v>
      </c>
      <c r="T26" s="19" t="s">
        <v>4441</v>
      </c>
      <c r="U26" s="169">
        <v>5349</v>
      </c>
      <c r="V26" s="169">
        <f>U26*(1+$N$84+$Q$15*S26/36500)</f>
        <v>5568.9391561643833</v>
      </c>
      <c r="W26" s="32">
        <f t="shared" si="4"/>
        <v>5680.3179392876709</v>
      </c>
      <c r="X26" s="32">
        <f t="shared" si="5"/>
        <v>5791.6967224109585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7"/>
        <v>248</v>
      </c>
      <c r="AM26" s="113">
        <f t="shared" si="8"/>
        <v>4588000000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2" t="s">
        <v>4446</v>
      </c>
      <c r="N27" s="113">
        <f t="shared" si="6"/>
        <v>2843194.2</v>
      </c>
      <c r="O27" s="69">
        <v>16359</v>
      </c>
      <c r="P27" s="99">
        <f>P42</f>
        <v>173.8</v>
      </c>
      <c r="Q27" s="170">
        <v>1353959</v>
      </c>
      <c r="R27" s="169" t="s">
        <v>4437</v>
      </c>
      <c r="S27" s="202">
        <f>S26</f>
        <v>39</v>
      </c>
      <c r="T27" s="19" t="s">
        <v>4484</v>
      </c>
      <c r="U27" s="169">
        <v>192.2</v>
      </c>
      <c r="V27" s="169">
        <f>U27*(1+$N$84+$Q$15*S27/36500)</f>
        <v>200.10284273972601</v>
      </c>
      <c r="W27" s="32">
        <f t="shared" si="4"/>
        <v>204.10489959452053</v>
      </c>
      <c r="X27" s="32">
        <f t="shared" si="5"/>
        <v>208.10695644931505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7"/>
        <v>247</v>
      </c>
      <c r="AM27" s="113">
        <f t="shared" si="8"/>
        <v>-4581850000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2" t="s">
        <v>4532</v>
      </c>
      <c r="N28" s="113">
        <f t="shared" si="6"/>
        <v>47096</v>
      </c>
      <c r="O28" s="36">
        <v>80</v>
      </c>
      <c r="P28" s="99">
        <f>P48</f>
        <v>588.70000000000005</v>
      </c>
      <c r="Q28" s="170">
        <v>1614398</v>
      </c>
      <c r="R28" s="169" t="s">
        <v>4445</v>
      </c>
      <c r="S28" s="169">
        <f>S27-3</f>
        <v>36</v>
      </c>
      <c r="T28" s="19" t="s">
        <v>4529</v>
      </c>
      <c r="U28" s="169">
        <v>184.6</v>
      </c>
      <c r="V28" s="169">
        <f>U28*(1+$N$84+$Q$15*S28/36500)</f>
        <v>191.76551452054795</v>
      </c>
      <c r="W28" s="32">
        <f t="shared" si="4"/>
        <v>195.60082481095893</v>
      </c>
      <c r="X28" s="32">
        <f t="shared" si="5"/>
        <v>199.43613510136987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7"/>
        <v>246</v>
      </c>
      <c r="AM28" s="113">
        <f t="shared" si="8"/>
        <v>-15980406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4528</v>
      </c>
      <c r="S29" s="201">
        <f>S28-18</f>
        <v>18</v>
      </c>
      <c r="T29" s="169" t="s">
        <v>4534</v>
      </c>
      <c r="U29" s="169">
        <v>315</v>
      </c>
      <c r="V29" s="169">
        <f>U29*(1+$N$84+$Q$15*S29/36500)</f>
        <v>322.87758904109592</v>
      </c>
      <c r="W29" s="32">
        <f t="shared" si="4"/>
        <v>329.33514082191783</v>
      </c>
      <c r="X29" s="32">
        <f t="shared" si="5"/>
        <v>335.79269260273975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7"/>
        <v>241</v>
      </c>
      <c r="AM29" s="113">
        <f t="shared" si="8"/>
        <v>1542400000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4541</v>
      </c>
      <c r="S30" s="201">
        <f>S29-4</f>
        <v>14</v>
      </c>
      <c r="T30" s="169" t="s">
        <v>4542</v>
      </c>
      <c r="U30" s="169">
        <v>166.2</v>
      </c>
      <c r="V30" s="169">
        <f>U30*(1+$N$84+$Q$15*S30/36500)</f>
        <v>169.84638246575344</v>
      </c>
      <c r="W30" s="32">
        <f t="shared" si="4"/>
        <v>173.24331011506851</v>
      </c>
      <c r="X30" s="32">
        <f t="shared" si="5"/>
        <v>176.64023776438358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7"/>
        <v>240</v>
      </c>
      <c r="AM30" s="113">
        <f t="shared" si="8"/>
        <v>-40800000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-S108</f>
        <v>-79881901.260852188</v>
      </c>
      <c r="O31" s="96" t="s">
        <v>25</v>
      </c>
      <c r="P31" s="96" t="s">
        <v>25</v>
      </c>
      <c r="Q31" s="170">
        <v>220803</v>
      </c>
      <c r="R31" s="169" t="s">
        <v>4232</v>
      </c>
      <c r="S31" s="201">
        <f>S30-1</f>
        <v>13</v>
      </c>
      <c r="T31" s="169" t="s">
        <v>4549</v>
      </c>
      <c r="U31" s="169">
        <v>166</v>
      </c>
      <c r="V31" s="169">
        <f>U31*(1+$N$84+$Q$15*S31/36500)</f>
        <v>169.51465205479454</v>
      </c>
      <c r="W31" s="32">
        <f t="shared" si="4"/>
        <v>172.90494509589044</v>
      </c>
      <c r="X31" s="32">
        <f t="shared" si="5"/>
        <v>176.29523813698631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235</v>
      </c>
      <c r="AM31" s="113">
        <f t="shared" si="8"/>
        <v>-1480500000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4553</v>
      </c>
      <c r="S32" s="201">
        <f>S31-2</f>
        <v>11</v>
      </c>
      <c r="T32" s="169" t="s">
        <v>4562</v>
      </c>
      <c r="U32" s="169">
        <v>160.19999999999999</v>
      </c>
      <c r="V32" s="169">
        <f>U32*(1+$N$84+$Q$15*S32/36500)</f>
        <v>163.34606465753424</v>
      </c>
      <c r="W32" s="32">
        <f t="shared" si="4"/>
        <v>166.61298595068493</v>
      </c>
      <c r="X32" s="32">
        <f t="shared" si="5"/>
        <v>169.87990724383562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7"/>
        <v>234</v>
      </c>
      <c r="AM32" s="113">
        <f t="shared" si="8"/>
        <v>-12171510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7"/>
        <v>218</v>
      </c>
      <c r="AM33" s="113">
        <f t="shared" si="8"/>
        <v>4363793200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4592</v>
      </c>
      <c r="L34" s="117">
        <v>-50000000</v>
      </c>
      <c r="M34" s="73"/>
      <c r="N34" s="113"/>
      <c r="O34" s="96"/>
      <c r="P34" s="96"/>
      <c r="Q34" s="170">
        <f>SUM(N21:N24)-SUM(Q20:Q33)</f>
        <v>-2440942.1999999993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7"/>
        <v>218</v>
      </c>
      <c r="AM34" s="113">
        <f t="shared" si="8"/>
        <v>221153588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7"/>
        <v>206</v>
      </c>
      <c r="AM35" s="113">
        <f t="shared" si="8"/>
        <v>74160000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4523</v>
      </c>
      <c r="L36" s="117">
        <v>-1000000</v>
      </c>
      <c r="M36" s="169" t="s">
        <v>4594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7"/>
        <v>204</v>
      </c>
      <c r="AM36" s="113">
        <f t="shared" si="8"/>
        <v>-71400000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169"/>
      <c r="L37" s="117"/>
      <c r="M37" s="169" t="s">
        <v>4595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7"/>
        <v>204</v>
      </c>
      <c r="AM37" s="113">
        <f t="shared" si="8"/>
        <v>204000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7"/>
        <v>203</v>
      </c>
      <c r="AM38" s="113">
        <f t="shared" si="8"/>
        <v>6822830000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99"/>
      <c r="L39" s="117"/>
      <c r="M39" s="169" t="s">
        <v>4467</v>
      </c>
      <c r="N39" s="113">
        <v>877481</v>
      </c>
      <c r="Q39" s="169">
        <v>0</v>
      </c>
      <c r="R39" s="169" t="s">
        <v>4173</v>
      </c>
      <c r="S39" s="169">
        <f>S54</f>
        <v>99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7"/>
        <v>199</v>
      </c>
      <c r="AM39" s="113">
        <f t="shared" si="8"/>
        <v>-3104400000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37</v>
      </c>
      <c r="T40" s="193" t="s">
        <v>4530</v>
      </c>
      <c r="U40" s="169">
        <v>184.6</v>
      </c>
      <c r="V40" s="169">
        <f>U40*(1+$N$84+$Q$15*S40/36500)</f>
        <v>191.90712547945208</v>
      </c>
      <c r="W40" s="32">
        <f>V40*(1+$W$19/100)</f>
        <v>195.74526798904111</v>
      </c>
      <c r="X40" s="32">
        <f>V40*(1+$X$19/100)</f>
        <v>199.58341049863017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7"/>
        <v>196</v>
      </c>
      <c r="AM40" s="113">
        <f t="shared" si="8"/>
        <v>1470000000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3" si="12">O41*P41</f>
        <v>3378277</v>
      </c>
      <c r="O41" s="99">
        <v>1043</v>
      </c>
      <c r="P41" s="99">
        <v>3239</v>
      </c>
      <c r="Q41" s="170">
        <v>25314</v>
      </c>
      <c r="R41" s="169" t="s">
        <v>4528</v>
      </c>
      <c r="S41" s="201">
        <f>S40-18</f>
        <v>19</v>
      </c>
      <c r="T41" s="192" t="s">
        <v>4533</v>
      </c>
      <c r="U41" s="169">
        <v>315</v>
      </c>
      <c r="V41" s="169">
        <f>U41*(1+$N$84+$Q$15*S41/36500)</f>
        <v>323.11923287671232</v>
      </c>
      <c r="W41" s="32">
        <f t="shared" ref="W41:W45" si="13">V41*(1+$W$19/100)</f>
        <v>329.58161753424656</v>
      </c>
      <c r="X41" s="32">
        <f t="shared" ref="X41:X45" si="14">V41*(1+$X$19/100)</f>
        <v>336.04400219178081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7"/>
        <v>192</v>
      </c>
      <c r="AM41" s="113">
        <f t="shared" si="8"/>
        <v>-18816000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2"/>
        <v>195126476.60000002</v>
      </c>
      <c r="O42" s="99">
        <v>1122707</v>
      </c>
      <c r="P42" s="99">
        <v>173.8</v>
      </c>
      <c r="Q42" s="170">
        <v>1692313</v>
      </c>
      <c r="R42" s="169" t="s">
        <v>4537</v>
      </c>
      <c r="S42" s="201">
        <f>S41-3</f>
        <v>16</v>
      </c>
      <c r="T42" s="192" t="s">
        <v>4538</v>
      </c>
      <c r="U42" s="169">
        <v>168.5</v>
      </c>
      <c r="V42" s="169">
        <f>U42*(1+$N$84+$Q$15*S42/36500)</f>
        <v>172.45536438356166</v>
      </c>
      <c r="W42" s="32">
        <f t="shared" si="13"/>
        <v>175.9044716712329</v>
      </c>
      <c r="X42" s="32">
        <f t="shared" si="14"/>
        <v>179.35357895890414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7"/>
        <v>191</v>
      </c>
      <c r="AM42" s="113">
        <f t="shared" si="8"/>
        <v>-4966000000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4573</v>
      </c>
      <c r="N43" s="113">
        <f t="shared" si="12"/>
        <v>11377.8</v>
      </c>
      <c r="O43" s="99">
        <v>63</v>
      </c>
      <c r="P43" s="99">
        <v>180.6</v>
      </c>
      <c r="Q43" s="170">
        <v>101153</v>
      </c>
      <c r="R43" s="169" t="s">
        <v>4541</v>
      </c>
      <c r="S43" s="201">
        <f>S42-1</f>
        <v>15</v>
      </c>
      <c r="T43" s="192" t="s">
        <v>4543</v>
      </c>
      <c r="U43" s="169">
        <v>166.7</v>
      </c>
      <c r="V43" s="169">
        <f>U43*(1+$N$84+$Q$15*S43/36500)</f>
        <v>170.48523178082192</v>
      </c>
      <c r="W43" s="32">
        <f t="shared" si="13"/>
        <v>173.89493641643836</v>
      </c>
      <c r="X43" s="32">
        <f t="shared" si="14"/>
        <v>177.30464105205479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7"/>
        <v>191</v>
      </c>
      <c r="AM43" s="113">
        <f t="shared" si="8"/>
        <v>4775000000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169" t="s">
        <v>4297</v>
      </c>
      <c r="N44" s="113">
        <f t="shared" si="12"/>
        <v>2668204.5999999996</v>
      </c>
      <c r="O44" s="69">
        <v>9349</v>
      </c>
      <c r="P44" s="69">
        <v>285.39999999999998</v>
      </c>
      <c r="Q44" s="170">
        <v>183105</v>
      </c>
      <c r="R44" s="169" t="s">
        <v>4232</v>
      </c>
      <c r="S44" s="201">
        <f>S43-1</f>
        <v>14</v>
      </c>
      <c r="T44" s="192" t="s">
        <v>4548</v>
      </c>
      <c r="U44" s="169">
        <v>166.6</v>
      </c>
      <c r="V44" s="169">
        <f>U44*(1+$N$84+$Q$15*S44/36500)</f>
        <v>170.2551583561644</v>
      </c>
      <c r="W44" s="32">
        <f t="shared" si="13"/>
        <v>173.66026152328769</v>
      </c>
      <c r="X44" s="32">
        <f t="shared" si="14"/>
        <v>177.06536469041097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7"/>
        <v>190</v>
      </c>
      <c r="AM44" s="113">
        <f t="shared" si="8"/>
        <v>20900000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117"/>
      <c r="M45" s="169" t="s">
        <v>4401</v>
      </c>
      <c r="N45" s="113">
        <f t="shared" si="12"/>
        <v>3549071.7</v>
      </c>
      <c r="O45" s="69">
        <v>747</v>
      </c>
      <c r="P45" s="69">
        <v>4751.1000000000004</v>
      </c>
      <c r="Q45" s="170"/>
      <c r="R45" s="169"/>
      <c r="S45" s="113"/>
      <c r="T45" s="113"/>
      <c r="U45" s="169"/>
      <c r="V45" s="169">
        <f>U45*(1+$N$84+$Q$15*S45/36500)</f>
        <v>0</v>
      </c>
      <c r="W45" s="32">
        <f t="shared" si="13"/>
        <v>0</v>
      </c>
      <c r="X45" s="32">
        <f t="shared" si="14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7"/>
        <v>189</v>
      </c>
      <c r="AM45" s="113">
        <f t="shared" si="8"/>
        <v>71820000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117"/>
      <c r="M46" s="169" t="s">
        <v>4416</v>
      </c>
      <c r="N46" s="117">
        <f t="shared" si="12"/>
        <v>2089216.5</v>
      </c>
      <c r="O46" s="69">
        <v>4431</v>
      </c>
      <c r="P46" s="69">
        <v>471.5</v>
      </c>
      <c r="Q46" s="113">
        <f>SUM(N27:N28)-SUM(Q39:Q45)</f>
        <v>24461.200000000186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7"/>
        <v>182</v>
      </c>
      <c r="AM46" s="113">
        <f t="shared" si="8"/>
        <v>81900000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 t="s">
        <v>25</v>
      </c>
      <c r="L47" s="117"/>
      <c r="M47" s="169" t="s">
        <v>4606</v>
      </c>
      <c r="N47" s="117">
        <f t="shared" si="12"/>
        <v>99554.4</v>
      </c>
      <c r="O47" s="69">
        <v>594</v>
      </c>
      <c r="P47" s="69">
        <v>167.6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7"/>
        <v>176</v>
      </c>
      <c r="AM47" s="113">
        <f t="shared" si="8"/>
        <v>492800000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4532</v>
      </c>
      <c r="N48" s="117">
        <f t="shared" si="12"/>
        <v>46507.3</v>
      </c>
      <c r="O48" s="69">
        <v>79</v>
      </c>
      <c r="P48" s="69">
        <v>588.70000000000005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7"/>
        <v>175</v>
      </c>
      <c r="AM48" s="113">
        <f t="shared" si="8"/>
        <v>-262500000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73" t="s">
        <v>4605</v>
      </c>
      <c r="N49" s="117">
        <f t="shared" si="12"/>
        <v>99524.4</v>
      </c>
      <c r="O49" s="69">
        <v>197</v>
      </c>
      <c r="P49" s="69">
        <v>505.2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175</v>
      </c>
      <c r="AM49" s="113">
        <f t="shared" si="8"/>
        <v>533750000</v>
      </c>
      <c r="AN49" s="99"/>
    </row>
    <row r="50" spans="1:4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 t="s">
        <v>25</v>
      </c>
      <c r="L50" s="117"/>
      <c r="M50" s="73" t="s">
        <v>4571</v>
      </c>
      <c r="N50" s="117">
        <f t="shared" si="12"/>
        <v>441631.5</v>
      </c>
      <c r="O50" s="69">
        <v>123</v>
      </c>
      <c r="P50" s="69">
        <v>3590.5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7"/>
        <v>172</v>
      </c>
      <c r="AM50" s="113">
        <f t="shared" si="8"/>
        <v>-1427533264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73" t="s">
        <v>4590</v>
      </c>
      <c r="N51" s="117">
        <f t="shared" si="12"/>
        <v>104764</v>
      </c>
      <c r="O51" s="69">
        <v>40</v>
      </c>
      <c r="P51" s="69">
        <v>2619.1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7"/>
        <v>170</v>
      </c>
      <c r="AM51" s="113">
        <f t="shared" si="8"/>
        <v>850000000</v>
      </c>
      <c r="AN51" s="99"/>
    </row>
    <row r="52" spans="1:40" ht="3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 t="s">
        <v>25</v>
      </c>
      <c r="L52" s="117"/>
      <c r="M52" s="73" t="s">
        <v>4635</v>
      </c>
      <c r="N52" s="117">
        <f t="shared" si="12"/>
        <v>0</v>
      </c>
      <c r="O52" s="69">
        <v>0</v>
      </c>
      <c r="P52" s="69">
        <v>8493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156</v>
      </c>
      <c r="AM52" s="113">
        <f t="shared" si="8"/>
        <v>-14040000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117"/>
      <c r="M53" s="73" t="s">
        <v>1086</v>
      </c>
      <c r="N53" s="117">
        <f t="shared" si="12"/>
        <v>0</v>
      </c>
      <c r="O53" s="69">
        <v>0</v>
      </c>
      <c r="P53" s="69">
        <v>384000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7"/>
        <v>155</v>
      </c>
      <c r="AM53" s="113">
        <f t="shared" si="8"/>
        <v>868000000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99"/>
      <c r="L54" s="117"/>
      <c r="M54" s="73"/>
      <c r="N54" s="117"/>
      <c r="O54" s="122"/>
      <c r="P54" s="122"/>
      <c r="Q54" s="170">
        <v>184971545</v>
      </c>
      <c r="R54" s="169" t="s">
        <v>4173</v>
      </c>
      <c r="S54" s="194">
        <v>99</v>
      </c>
      <c r="T54" s="169" t="s">
        <v>4352</v>
      </c>
      <c r="U54" s="169">
        <v>192</v>
      </c>
      <c r="V54" s="99">
        <f>U54*(1+$N$84+$Q$15*S54/36500)</f>
        <v>208.73187945205481</v>
      </c>
      <c r="W54" s="32">
        <f t="shared" ref="W54:W76" si="15">V54*(1+$W$19/100)</f>
        <v>212.90651704109592</v>
      </c>
      <c r="X54" s="32">
        <f t="shared" ref="X54:X76" si="16">V54*(1+$X$19/100)</f>
        <v>217.08115463013701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7"/>
        <v>151</v>
      </c>
      <c r="AM54" s="113">
        <f t="shared" si="8"/>
        <v>113250000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99"/>
      <c r="L55" s="117"/>
      <c r="M55" s="169" t="s">
        <v>1153</v>
      </c>
      <c r="N55" s="117">
        <v>14908</v>
      </c>
      <c r="O55" s="96" t="s">
        <v>25</v>
      </c>
      <c r="P55" t="s">
        <v>25</v>
      </c>
      <c r="Q55" s="170">
        <v>9560464</v>
      </c>
      <c r="R55" s="169" t="s">
        <v>4300</v>
      </c>
      <c r="S55" s="194">
        <f>S54-31</f>
        <v>68</v>
      </c>
      <c r="T55" s="169" t="s">
        <v>4316</v>
      </c>
      <c r="U55" s="169">
        <v>214.57</v>
      </c>
      <c r="V55" s="99">
        <f>U55*(1+$N$84+$Q$15*S55/36500)</f>
        <v>228.16609578082193</v>
      </c>
      <c r="W55" s="32">
        <f t="shared" si="15"/>
        <v>232.72941769643839</v>
      </c>
      <c r="X55" s="32">
        <f t="shared" si="16"/>
        <v>237.29273961205482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7"/>
        <v>149</v>
      </c>
      <c r="AM55" s="171">
        <f t="shared" si="8"/>
        <v>-632058000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99"/>
      <c r="L56" s="99"/>
      <c r="M56" s="169" t="s">
        <v>1154</v>
      </c>
      <c r="N56" s="117">
        <v>5282</v>
      </c>
      <c r="O56" s="96"/>
      <c r="Q56" s="170">
        <v>2000000</v>
      </c>
      <c r="R56" s="169" t="s">
        <v>4347</v>
      </c>
      <c r="S56" s="169">
        <f>S55-11</f>
        <v>57</v>
      </c>
      <c r="T56" s="169" t="s">
        <v>4351</v>
      </c>
      <c r="U56" s="169">
        <v>206.8</v>
      </c>
      <c r="V56" s="99">
        <f>U56*(1+$N$84+$Q$15*S56/36500)</f>
        <v>218.15870246575344</v>
      </c>
      <c r="W56" s="32">
        <f t="shared" si="15"/>
        <v>222.5218765150685</v>
      </c>
      <c r="X56" s="32">
        <f t="shared" si="16"/>
        <v>226.88505056438359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7"/>
        <v>147</v>
      </c>
      <c r="AM56" s="113">
        <f t="shared" si="8"/>
        <v>602700000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/>
      <c r="N57" s="113"/>
      <c r="O57" s="115"/>
      <c r="P57" s="115"/>
      <c r="Q57" s="170">
        <v>1429825</v>
      </c>
      <c r="R57" s="169" t="s">
        <v>4378</v>
      </c>
      <c r="S57" s="169">
        <f>S56-7</f>
        <v>50</v>
      </c>
      <c r="T57" s="169" t="s">
        <v>4387</v>
      </c>
      <c r="U57" s="169">
        <v>203.9</v>
      </c>
      <c r="V57" s="99">
        <f>U57*(1+$N$84+$Q$15*S57/36500)</f>
        <v>214.00450191780826</v>
      </c>
      <c r="W57" s="32">
        <f t="shared" si="15"/>
        <v>218.28459195616443</v>
      </c>
      <c r="X57" s="32">
        <f t="shared" si="16"/>
        <v>222.56468199452058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7"/>
        <v>147</v>
      </c>
      <c r="AM57" s="113">
        <f t="shared" si="8"/>
        <v>602700000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 t="s">
        <v>25</v>
      </c>
      <c r="L58" s="117"/>
      <c r="M58" s="169" t="s">
        <v>4181</v>
      </c>
      <c r="N58" s="113">
        <f>-O58*P58</f>
        <v>-14385947.4</v>
      </c>
      <c r="O58" s="99">
        <v>82773</v>
      </c>
      <c r="P58" s="99">
        <f>P42</f>
        <v>173.8</v>
      </c>
      <c r="Q58" s="170">
        <v>1420747</v>
      </c>
      <c r="R58" s="169" t="s">
        <v>4378</v>
      </c>
      <c r="S58" s="169">
        <f>S57</f>
        <v>50</v>
      </c>
      <c r="T58" s="169" t="s">
        <v>4389</v>
      </c>
      <c r="U58" s="169">
        <v>203.1</v>
      </c>
      <c r="V58" s="99">
        <f>U58*(1+$N$84+$Q$15*S58/36500)</f>
        <v>213.1648569863014</v>
      </c>
      <c r="W58" s="32">
        <f t="shared" si="15"/>
        <v>217.42815412602744</v>
      </c>
      <c r="X58" s="32">
        <f t="shared" si="16"/>
        <v>221.69145126575347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7"/>
        <v>146</v>
      </c>
      <c r="AM58" s="113">
        <f t="shared" si="8"/>
        <v>115340000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4380</v>
      </c>
      <c r="S59" s="169">
        <f>S58-1</f>
        <v>49</v>
      </c>
      <c r="T59" s="169" t="s">
        <v>4396</v>
      </c>
      <c r="U59" s="169">
        <v>3930</v>
      </c>
      <c r="V59" s="99">
        <f>U59*(1+$N$84+$Q$15*S59/36500)</f>
        <v>4121.7409315068498</v>
      </c>
      <c r="W59" s="32">
        <f t="shared" si="15"/>
        <v>4204.1757501369866</v>
      </c>
      <c r="X59" s="32">
        <f t="shared" si="16"/>
        <v>4286.6105687671243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7"/>
        <v>131</v>
      </c>
      <c r="AM59" s="173">
        <f t="shared" si="8"/>
        <v>-506315000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/>
      <c r="L60" s="117"/>
      <c r="M60" s="169"/>
      <c r="N60" s="113"/>
      <c r="Q60" s="170">
        <v>2010885</v>
      </c>
      <c r="R60" s="169" t="s">
        <v>4399</v>
      </c>
      <c r="S60" s="169">
        <f>S59-2</f>
        <v>47</v>
      </c>
      <c r="T60" s="169" t="s">
        <v>4405</v>
      </c>
      <c r="U60" s="169">
        <v>202.1</v>
      </c>
      <c r="V60" s="99">
        <f>U60*(1+$N$84+$Q$15*S60/36500)</f>
        <v>211.65019397260278</v>
      </c>
      <c r="W60" s="32">
        <f t="shared" si="15"/>
        <v>215.88319785205485</v>
      </c>
      <c r="X60" s="32">
        <f t="shared" si="16"/>
        <v>220.11620173150689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7"/>
        <v>125</v>
      </c>
      <c r="AM60" s="113">
        <f t="shared" si="8"/>
        <v>2350000000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/>
      <c r="L61" s="117"/>
      <c r="M61" s="169" t="s">
        <v>4454</v>
      </c>
      <c r="N61" s="113">
        <f>-S109</f>
        <v>-11087801.159640526</v>
      </c>
      <c r="Q61" s="170">
        <v>1994038</v>
      </c>
      <c r="R61" s="169" t="s">
        <v>4410</v>
      </c>
      <c r="S61" s="169">
        <f>S60-3</f>
        <v>44</v>
      </c>
      <c r="T61" s="169" t="s">
        <v>4427</v>
      </c>
      <c r="U61" s="169">
        <v>5560.3</v>
      </c>
      <c r="V61" s="99">
        <f>U61*(1+$N$84+$Q$15*S61/36500)</f>
        <v>5810.2545271232884</v>
      </c>
      <c r="W61" s="32">
        <f t="shared" si="15"/>
        <v>5926.4596176657542</v>
      </c>
      <c r="X61" s="32">
        <f t="shared" si="16"/>
        <v>6042.66470820822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7"/>
        <v>122</v>
      </c>
      <c r="AM61" s="113">
        <f t="shared" si="8"/>
        <v>61000000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69"/>
      <c r="L62" s="117"/>
      <c r="M62" s="169"/>
      <c r="N62" s="113"/>
      <c r="P62" t="s">
        <v>25</v>
      </c>
      <c r="Q62" s="170">
        <v>1966482</v>
      </c>
      <c r="R62" s="169" t="s">
        <v>4410</v>
      </c>
      <c r="S62" s="196">
        <f>S61</f>
        <v>44</v>
      </c>
      <c r="T62" s="169" t="s">
        <v>4604</v>
      </c>
      <c r="U62" s="169">
        <v>441.8</v>
      </c>
      <c r="V62" s="99">
        <f>U62*(1+$N$84+$Q$15*S62/36500)</f>
        <v>461.66042301369868</v>
      </c>
      <c r="W62" s="32">
        <f t="shared" si="15"/>
        <v>470.89363147397268</v>
      </c>
      <c r="X62" s="32">
        <f t="shared" si="16"/>
        <v>480.12683993424662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121</v>
      </c>
      <c r="AM62" s="113">
        <f t="shared" si="8"/>
        <v>24200000</v>
      </c>
      <c r="AN62" s="20"/>
    </row>
    <row r="63" spans="1:40">
      <c r="E63" s="26"/>
      <c r="K63" s="169"/>
      <c r="L63" s="117"/>
      <c r="M63" s="169"/>
      <c r="N63" s="113"/>
      <c r="Q63" s="170">
        <v>1971103</v>
      </c>
      <c r="R63" s="169" t="s">
        <v>4422</v>
      </c>
      <c r="S63" s="169">
        <f>S62-1</f>
        <v>43</v>
      </c>
      <c r="T63" s="169" t="s">
        <v>4423</v>
      </c>
      <c r="U63" s="169">
        <v>196.2</v>
      </c>
      <c r="V63" s="99">
        <f>U63*(1+$N$84+$Q$15*S63/36500)</f>
        <v>204.86935232876712</v>
      </c>
      <c r="W63" s="32">
        <f t="shared" si="15"/>
        <v>208.96673937534246</v>
      </c>
      <c r="X63" s="32">
        <f t="shared" si="16"/>
        <v>213.06412642191782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7"/>
        <v>118</v>
      </c>
      <c r="AM63" s="113">
        <f t="shared" si="8"/>
        <v>118000000</v>
      </c>
      <c r="AN63" s="20"/>
    </row>
    <row r="64" spans="1:40">
      <c r="E64" s="26"/>
      <c r="K64" s="169" t="s">
        <v>598</v>
      </c>
      <c r="L64" s="113">
        <f>SUM(L16:L45)</f>
        <v>257539400.26085222</v>
      </c>
      <c r="M64" s="169"/>
      <c r="N64" s="113">
        <f>SUM(N16:N60)</f>
        <v>329665674.13914782</v>
      </c>
      <c r="Q64" s="170">
        <v>1049856</v>
      </c>
      <c r="R64" s="169" t="s">
        <v>4445</v>
      </c>
      <c r="S64" s="202">
        <f>S63-6</f>
        <v>37</v>
      </c>
      <c r="T64" s="169" t="s">
        <v>4485</v>
      </c>
      <c r="U64" s="169">
        <v>184.5</v>
      </c>
      <c r="V64" s="99">
        <f>U64*(1+$N$84+$Q$15*S64/36500)</f>
        <v>191.80316712328769</v>
      </c>
      <c r="W64" s="32">
        <f t="shared" si="15"/>
        <v>195.63923046575346</v>
      </c>
      <c r="X64" s="32">
        <f t="shared" si="16"/>
        <v>199.47529380821922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115</v>
      </c>
      <c r="AM64" s="113">
        <f t="shared" si="8"/>
        <v>149500000</v>
      </c>
      <c r="AN64" s="20"/>
    </row>
    <row r="65" spans="1:40">
      <c r="K65" s="169" t="s">
        <v>599</v>
      </c>
      <c r="L65" s="113">
        <f>L16+L17+L23</f>
        <v>3419202</v>
      </c>
      <c r="M65" s="169"/>
      <c r="N65" s="113">
        <f>N16+N17+N32</f>
        <v>37849346</v>
      </c>
      <c r="Q65" s="170">
        <v>1783234</v>
      </c>
      <c r="R65" s="169" t="s">
        <v>4447</v>
      </c>
      <c r="S65" s="169">
        <f>S64-2</f>
        <v>35</v>
      </c>
      <c r="T65" s="169" t="s">
        <v>4448</v>
      </c>
      <c r="U65" s="169">
        <v>177.5</v>
      </c>
      <c r="V65" s="99">
        <f>U65*(1+$N$84+$Q$15*S65/36500)</f>
        <v>184.25375342465756</v>
      </c>
      <c r="W65" s="32">
        <f t="shared" si="15"/>
        <v>187.93882849315071</v>
      </c>
      <c r="X65" s="32">
        <f t="shared" si="16"/>
        <v>191.62390356164386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7">AL66+AK65</f>
        <v>115</v>
      </c>
      <c r="AM65" s="113">
        <f t="shared" si="8"/>
        <v>114425000</v>
      </c>
      <c r="AN65" s="20"/>
    </row>
    <row r="66" spans="1:40">
      <c r="K66" s="56" t="s">
        <v>716</v>
      </c>
      <c r="L66" s="1">
        <f>L64+N7</f>
        <v>327539400.26085222</v>
      </c>
      <c r="M66" s="113"/>
      <c r="N66" s="169"/>
      <c r="O66" s="115"/>
      <c r="P66" s="115"/>
      <c r="Q66" s="170">
        <v>1904396</v>
      </c>
      <c r="R66" s="169" t="s">
        <v>4447</v>
      </c>
      <c r="S66" s="201">
        <f>S65</f>
        <v>35</v>
      </c>
      <c r="T66" s="169" t="s">
        <v>4453</v>
      </c>
      <c r="U66" s="169">
        <v>4861</v>
      </c>
      <c r="V66" s="99">
        <f>U66*(1+$N$84+$Q$15*S66/36500)</f>
        <v>5045.9577205479463</v>
      </c>
      <c r="W66" s="32">
        <f t="shared" si="15"/>
        <v>5146.8768749589053</v>
      </c>
      <c r="X66" s="32">
        <f t="shared" si="16"/>
        <v>5247.7960293698643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7"/>
        <v>113</v>
      </c>
      <c r="AM66" s="113">
        <f t="shared" si="8"/>
        <v>1469000000</v>
      </c>
      <c r="AN66" s="20"/>
    </row>
    <row r="67" spans="1:40">
      <c r="A67" t="s">
        <v>25</v>
      </c>
      <c r="F67" t="s">
        <v>310</v>
      </c>
      <c r="G67" t="s">
        <v>4100</v>
      </c>
      <c r="O67" s="96"/>
      <c r="P67" s="96"/>
      <c r="Q67" s="170">
        <v>1826179</v>
      </c>
      <c r="R67" s="169" t="s">
        <v>4451</v>
      </c>
      <c r="S67" s="201">
        <f>S66-5</f>
        <v>30</v>
      </c>
      <c r="T67" s="73" t="s">
        <v>4493</v>
      </c>
      <c r="U67" s="169">
        <v>190.3</v>
      </c>
      <c r="V67" s="99">
        <f>U67*(1+$N$84+$Q$15*S67/36500)</f>
        <v>196.81086684931512</v>
      </c>
      <c r="W67" s="32">
        <f t="shared" si="15"/>
        <v>200.74708418630144</v>
      </c>
      <c r="X67" s="32">
        <f t="shared" si="16"/>
        <v>204.68330152328772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7"/>
        <v>111</v>
      </c>
      <c r="AM67" s="113">
        <f t="shared" si="8"/>
        <v>-344100000</v>
      </c>
      <c r="AN67" s="20"/>
    </row>
    <row r="68" spans="1:40">
      <c r="F68" t="s">
        <v>4104</v>
      </c>
      <c r="G68" t="s">
        <v>4099</v>
      </c>
      <c r="M68" s="25"/>
      <c r="O68" t="s">
        <v>25</v>
      </c>
      <c r="Q68" s="170">
        <v>1049976</v>
      </c>
      <c r="R68" s="169" t="s">
        <v>4451</v>
      </c>
      <c r="S68" s="201">
        <f>S67</f>
        <v>30</v>
      </c>
      <c r="T68" s="73" t="s">
        <v>4500</v>
      </c>
      <c r="U68" s="169">
        <v>190.3</v>
      </c>
      <c r="V68" s="99">
        <f>U68*(1+$N$84+$Q$15*S68/36500)</f>
        <v>196.81086684931512</v>
      </c>
      <c r="W68" s="32">
        <f t="shared" si="15"/>
        <v>200.74708418630144</v>
      </c>
      <c r="X68" s="32">
        <f t="shared" si="16"/>
        <v>204.68330152328772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7"/>
        <v>108</v>
      </c>
      <c r="AM68" s="113">
        <f t="shared" si="8"/>
        <v>4929120000</v>
      </c>
      <c r="AN68" s="20"/>
    </row>
    <row r="69" spans="1:40">
      <c r="F69" t="s">
        <v>4105</v>
      </c>
      <c r="G69" t="s">
        <v>4101</v>
      </c>
      <c r="M69" s="25" t="s">
        <v>4081</v>
      </c>
      <c r="P69" t="s">
        <v>25</v>
      </c>
      <c r="Q69" s="170">
        <v>3969956</v>
      </c>
      <c r="R69" s="169" t="s">
        <v>4501</v>
      </c>
      <c r="S69" s="169">
        <f>S68-2</f>
        <v>28</v>
      </c>
      <c r="T69" s="73" t="s">
        <v>4502</v>
      </c>
      <c r="U69" s="169">
        <v>396500</v>
      </c>
      <c r="V69" s="99">
        <f>U69*(1+$N$84+$Q$15*S69/36500)</f>
        <v>409457.40273972607</v>
      </c>
      <c r="W69" s="32">
        <f t="shared" si="15"/>
        <v>417646.55079452059</v>
      </c>
      <c r="X69" s="32">
        <f t="shared" si="16"/>
        <v>425835.69884931511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7"/>
        <v>107</v>
      </c>
      <c r="AM69" s="113">
        <f t="shared" si="8"/>
        <v>3584500000</v>
      </c>
      <c r="AN69" s="20"/>
    </row>
    <row r="70" spans="1:40">
      <c r="G70" t="s">
        <v>4102</v>
      </c>
      <c r="M70" s="178"/>
      <c r="O70" s="22"/>
      <c r="Q70" s="170">
        <v>3894862</v>
      </c>
      <c r="R70" s="169" t="s">
        <v>4509</v>
      </c>
      <c r="S70" s="169">
        <f>S69-2</f>
        <v>26</v>
      </c>
      <c r="T70" s="73" t="s">
        <v>4558</v>
      </c>
      <c r="U70" s="169">
        <v>389000</v>
      </c>
      <c r="V70" s="99">
        <f>U70*(1+$N$84+$Q$15*S70/36500)</f>
        <v>401115.48493150686</v>
      </c>
      <c r="W70" s="32">
        <f t="shared" si="15"/>
        <v>409137.79463013698</v>
      </c>
      <c r="X70" s="32">
        <f t="shared" si="16"/>
        <v>417160.10432876716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7"/>
        <v>106</v>
      </c>
      <c r="AM70" s="117">
        <f t="shared" si="8"/>
        <v>1272000000</v>
      </c>
      <c r="AN70" s="20"/>
    </row>
    <row r="71" spans="1:40" ht="30">
      <c r="G71" t="s">
        <v>4103</v>
      </c>
      <c r="M71" s="96"/>
      <c r="O71" t="s">
        <v>25</v>
      </c>
      <c r="P71" t="s">
        <v>25</v>
      </c>
      <c r="Q71" s="170">
        <v>5881743</v>
      </c>
      <c r="R71" s="169" t="s">
        <v>4514</v>
      </c>
      <c r="S71" s="169">
        <f>S70-3</f>
        <v>23</v>
      </c>
      <c r="T71" s="73" t="s">
        <v>4535</v>
      </c>
      <c r="U71" s="169">
        <v>172.2</v>
      </c>
      <c r="V71" s="99">
        <f>U71*(1+$N$84+$Q$15*S71/36500)</f>
        <v>177.16690849315069</v>
      </c>
      <c r="W71" s="32">
        <f t="shared" si="15"/>
        <v>180.71024666301369</v>
      </c>
      <c r="X71" s="32">
        <f t="shared" si="16"/>
        <v>184.25358483287673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7"/>
        <v>105</v>
      </c>
      <c r="AM71" s="117">
        <f t="shared" si="8"/>
        <v>1627500000</v>
      </c>
      <c r="AN71" s="20"/>
    </row>
    <row r="72" spans="1:40">
      <c r="G72" t="s">
        <v>4107</v>
      </c>
      <c r="M72" s="122" t="s">
        <v>4417</v>
      </c>
      <c r="O72" s="114"/>
      <c r="Q72" s="170">
        <v>4025024</v>
      </c>
      <c r="R72" s="169" t="s">
        <v>4514</v>
      </c>
      <c r="S72" s="169">
        <f>S71</f>
        <v>23</v>
      </c>
      <c r="T72" s="73" t="s">
        <v>4518</v>
      </c>
      <c r="U72" s="169">
        <v>402000</v>
      </c>
      <c r="V72" s="99">
        <f>U72*(1+$N$84+$Q$15*S72/36500)</f>
        <v>413595.22191780823</v>
      </c>
      <c r="W72" s="32">
        <f t="shared" si="15"/>
        <v>421867.1263561644</v>
      </c>
      <c r="X72" s="32">
        <f t="shared" si="16"/>
        <v>430139.03079452057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7"/>
        <v>101</v>
      </c>
      <c r="AM72" s="117">
        <f t="shared" si="8"/>
        <v>15150000</v>
      </c>
      <c r="AN72" s="20"/>
    </row>
    <row r="73" spans="1:40">
      <c r="G73" t="s">
        <v>4106</v>
      </c>
      <c r="M73" s="122" t="s">
        <v>4526</v>
      </c>
      <c r="N73" s="96"/>
      <c r="Q73" s="170">
        <v>3919893</v>
      </c>
      <c r="R73" s="169" t="s">
        <v>4516</v>
      </c>
      <c r="S73" s="169">
        <f>S72-1</f>
        <v>22</v>
      </c>
      <c r="T73" s="73" t="s">
        <v>4517</v>
      </c>
      <c r="U73" s="169">
        <v>391500</v>
      </c>
      <c r="V73" s="99">
        <f>U73*(1+$N$84+$Q$15*S73/36500)</f>
        <v>402492.03287671239</v>
      </c>
      <c r="W73" s="32">
        <f t="shared" si="15"/>
        <v>410541.87353424664</v>
      </c>
      <c r="X73" s="32">
        <f t="shared" si="16"/>
        <v>418591.71419178089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7"/>
        <v>100</v>
      </c>
      <c r="AM73" s="182">
        <f t="shared" si="8"/>
        <v>2900000000</v>
      </c>
      <c r="AN73" s="181" t="s">
        <v>4187</v>
      </c>
    </row>
    <row r="74" spans="1:40">
      <c r="M74" s="122" t="s">
        <v>4640</v>
      </c>
      <c r="N74" s="96"/>
      <c r="P74" t="s">
        <v>25</v>
      </c>
      <c r="Q74" s="170">
        <v>3825777</v>
      </c>
      <c r="R74" s="169" t="s">
        <v>4522</v>
      </c>
      <c r="S74" s="169">
        <f>S73-1</f>
        <v>21</v>
      </c>
      <c r="T74" s="73" t="s">
        <v>4524</v>
      </c>
      <c r="U74" s="169">
        <v>382100</v>
      </c>
      <c r="V74" s="99">
        <f>U74*(1+$N$84+$Q$15*S74/36500)</f>
        <v>392534.99397260277</v>
      </c>
      <c r="W74" s="32">
        <f t="shared" si="15"/>
        <v>400385.69385205483</v>
      </c>
      <c r="X74" s="32">
        <f t="shared" si="16"/>
        <v>408236.39373150689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7"/>
        <v>85</v>
      </c>
      <c r="AM74" s="117">
        <f t="shared" si="8"/>
        <v>-11050000</v>
      </c>
      <c r="AN74" s="20" t="s">
        <v>4213</v>
      </c>
    </row>
    <row r="75" spans="1:40">
      <c r="M75" s="211" t="s">
        <v>4621</v>
      </c>
      <c r="N75" s="96"/>
      <c r="P75" s="115"/>
      <c r="Q75" s="170">
        <v>24997</v>
      </c>
      <c r="R75" s="169" t="s">
        <v>4528</v>
      </c>
      <c r="S75" s="169">
        <f>S74-2</f>
        <v>19</v>
      </c>
      <c r="T75" s="73" t="s">
        <v>4534</v>
      </c>
      <c r="U75" s="169">
        <v>315</v>
      </c>
      <c r="V75" s="99">
        <f>U75*(1+$N$84+$Q$15*S75/36500)</f>
        <v>323.11923287671232</v>
      </c>
      <c r="W75" s="32">
        <f t="shared" si="15"/>
        <v>329.58161753424656</v>
      </c>
      <c r="X75" s="32">
        <f t="shared" si="16"/>
        <v>336.04400219178081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7"/>
        <v>78</v>
      </c>
      <c r="AM75" s="117">
        <f>AJ75*AL75</f>
        <v>18096000</v>
      </c>
      <c r="AN75" s="20" t="s">
        <v>4261</v>
      </c>
    </row>
    <row r="76" spans="1:40">
      <c r="D76" s="3"/>
      <c r="E76" s="11" t="s">
        <v>304</v>
      </c>
      <c r="M76" s="122" t="s">
        <v>4525</v>
      </c>
      <c r="N76" s="96"/>
      <c r="P76" s="115" t="s">
        <v>25</v>
      </c>
      <c r="Q76" s="170">
        <v>674112</v>
      </c>
      <c r="R76" s="169" t="s">
        <v>4537</v>
      </c>
      <c r="S76" s="169">
        <f>S75-3</f>
        <v>16</v>
      </c>
      <c r="T76" s="73" t="s">
        <v>4539</v>
      </c>
      <c r="U76" s="169">
        <v>167.8</v>
      </c>
      <c r="V76" s="99">
        <f>U76*(1+$N$84+$Q$15*S76/36500)</f>
        <v>171.73893260273974</v>
      </c>
      <c r="W76" s="32">
        <f t="shared" si="15"/>
        <v>175.17371125479454</v>
      </c>
      <c r="X76" s="32">
        <f t="shared" si="16"/>
        <v>178.60848990684934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7"/>
        <v>76</v>
      </c>
      <c r="AM76" s="117">
        <f t="shared" si="8"/>
        <v>-12920000</v>
      </c>
      <c r="AN76" s="20"/>
    </row>
    <row r="77" spans="1:40">
      <c r="D77" s="1" t="s">
        <v>305</v>
      </c>
      <c r="E77" s="1">
        <v>70000</v>
      </c>
      <c r="M77" s="122"/>
      <c r="O77" t="s">
        <v>25</v>
      </c>
      <c r="P77" s="115"/>
      <c r="Q77" s="170">
        <v>105046</v>
      </c>
      <c r="R77" s="169" t="s">
        <v>4541</v>
      </c>
      <c r="S77" s="169">
        <f>S76-1</f>
        <v>15</v>
      </c>
      <c r="T77" s="73" t="s">
        <v>4544</v>
      </c>
      <c r="U77" s="169">
        <v>167</v>
      </c>
      <c r="V77" s="99">
        <f>U77*(1+$N$84+$Q$15*S77/36500)</f>
        <v>170.79204383561645</v>
      </c>
      <c r="W77" s="32">
        <f t="shared" ref="W77:W93" si="18">V77*(1+$W$19/100)</f>
        <v>174.20788471232879</v>
      </c>
      <c r="X77" s="32">
        <f t="shared" ref="X77:X93" si="19">V77*(1+$X$19/100)</f>
        <v>177.62372558904113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7"/>
        <v>73</v>
      </c>
      <c r="AM77" s="117">
        <f t="shared" si="8"/>
        <v>-21900000</v>
      </c>
      <c r="AN77" s="20"/>
    </row>
    <row r="78" spans="1:40">
      <c r="D78" s="1" t="s">
        <v>321</v>
      </c>
      <c r="E78" s="1">
        <v>100000</v>
      </c>
      <c r="M78" s="96">
        <f>O42+O43+O21+O27-O58</f>
        <v>1128587</v>
      </c>
      <c r="N78" s="113">
        <f>M78*P42</f>
        <v>196148420.60000002</v>
      </c>
      <c r="P78" s="115"/>
      <c r="Q78" s="170">
        <v>220269</v>
      </c>
      <c r="R78" s="169" t="s">
        <v>4232</v>
      </c>
      <c r="S78" s="169">
        <f>S77-1</f>
        <v>14</v>
      </c>
      <c r="T78" s="73" t="s">
        <v>4550</v>
      </c>
      <c r="U78" s="169">
        <v>165.1</v>
      </c>
      <c r="V78" s="99">
        <f>U78*(1+$N$84+$Q$15*S78/36500)</f>
        <v>168.72224876712332</v>
      </c>
      <c r="W78" s="32">
        <f t="shared" si="18"/>
        <v>172.09669374246579</v>
      </c>
      <c r="X78" s="32">
        <f t="shared" si="19"/>
        <v>175.47113871780826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70</v>
      </c>
      <c r="AM78" s="117">
        <f t="shared" si="8"/>
        <v>-798000000</v>
      </c>
      <c r="AN78" s="20"/>
    </row>
    <row r="79" spans="1:40">
      <c r="D79" s="1" t="s">
        <v>306</v>
      </c>
      <c r="E79" s="1">
        <v>80000</v>
      </c>
      <c r="M79" t="s">
        <v>4268</v>
      </c>
      <c r="P79" s="115"/>
      <c r="Q79" s="117">
        <v>277822</v>
      </c>
      <c r="R79" s="169" t="s">
        <v>4232</v>
      </c>
      <c r="S79" s="169">
        <f>S78</f>
        <v>14</v>
      </c>
      <c r="T79" s="73" t="s">
        <v>4551</v>
      </c>
      <c r="U79" s="169">
        <v>165</v>
      </c>
      <c r="V79" s="99">
        <f>U79*(1+$N$84+$Q$15*S79/36500)</f>
        <v>168.62005479452057</v>
      </c>
      <c r="W79" s="32">
        <f t="shared" si="18"/>
        <v>171.99245589041098</v>
      </c>
      <c r="X79" s="32">
        <f t="shared" si="19"/>
        <v>175.36485698630139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57</v>
      </c>
      <c r="AM79" s="117">
        <f>AJ79*AL79</f>
        <v>-570000000</v>
      </c>
      <c r="AN79" s="20"/>
    </row>
    <row r="80" spans="1:40">
      <c r="D80" s="31" t="s">
        <v>307</v>
      </c>
      <c r="E80" s="1">
        <v>150000</v>
      </c>
      <c r="J80" t="s">
        <v>25</v>
      </c>
      <c r="N80" t="s">
        <v>25</v>
      </c>
      <c r="P80" s="115"/>
      <c r="Q80" s="170">
        <v>165664</v>
      </c>
      <c r="R80" s="169" t="s">
        <v>4232</v>
      </c>
      <c r="S80" s="169">
        <f>S79</f>
        <v>14</v>
      </c>
      <c r="T80" s="73" t="s">
        <v>4552</v>
      </c>
      <c r="U80" s="169">
        <v>164.9</v>
      </c>
      <c r="V80" s="99">
        <f>U80*(1+$N$84+$Q$15*S80/36500)</f>
        <v>168.51786082191785</v>
      </c>
      <c r="W80" s="32">
        <f t="shared" si="18"/>
        <v>171.8882180383562</v>
      </c>
      <c r="X80" s="32">
        <f t="shared" si="19"/>
        <v>175.25857525479458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56</v>
      </c>
      <c r="AM80" s="117">
        <f>AJ80*AL80</f>
        <v>-137200000</v>
      </c>
      <c r="AN80" s="20"/>
    </row>
    <row r="81" spans="4:52">
      <c r="D81" s="31" t="s">
        <v>308</v>
      </c>
      <c r="E81" s="1">
        <v>300000</v>
      </c>
      <c r="P81" s="115"/>
      <c r="Q81" s="170">
        <v>1498</v>
      </c>
      <c r="R81" s="169" t="s">
        <v>4232</v>
      </c>
      <c r="S81" s="169">
        <f>S80</f>
        <v>14</v>
      </c>
      <c r="T81" s="73" t="s">
        <v>4636</v>
      </c>
      <c r="U81" s="169">
        <v>165.7</v>
      </c>
      <c r="V81" s="99">
        <f>U81*(1+$N$84+$Q$15*S81/36500)</f>
        <v>169.33541260273975</v>
      </c>
      <c r="W81" s="32">
        <f t="shared" si="18"/>
        <v>172.72212085479455</v>
      </c>
      <c r="X81" s="32">
        <f t="shared" si="19"/>
        <v>176.10882910684936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7"/>
        <v>51</v>
      </c>
      <c r="AM81" s="117">
        <f t="shared" si="8"/>
        <v>-23260131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949</v>
      </c>
      <c r="N82">
        <v>6.3E-3</v>
      </c>
      <c r="P82" s="115"/>
      <c r="Q82" s="170">
        <v>103273</v>
      </c>
      <c r="R82" s="169" t="s">
        <v>4588</v>
      </c>
      <c r="S82" s="169">
        <f>S81-6</f>
        <v>8</v>
      </c>
      <c r="T82" s="73" t="s">
        <v>4622</v>
      </c>
      <c r="U82" s="169">
        <v>3544.7</v>
      </c>
      <c r="V82" s="99">
        <f>U82*(1+$N$84+$Q$15*S82/36500)</f>
        <v>3606.1544153424657</v>
      </c>
      <c r="W82" s="32">
        <f t="shared" si="18"/>
        <v>3678.2775036493149</v>
      </c>
      <c r="X82" s="32">
        <f t="shared" si="19"/>
        <v>3750.4005919561646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50</v>
      </c>
      <c r="AM82" s="117">
        <f t="shared" si="8"/>
        <v>-25000000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61</v>
      </c>
      <c r="N83">
        <v>4.8999999999999998E-3</v>
      </c>
      <c r="P83" s="115"/>
      <c r="Q83" s="170">
        <v>103031</v>
      </c>
      <c r="R83" s="169" t="s">
        <v>4589</v>
      </c>
      <c r="S83" s="169">
        <f>S82-1</f>
        <v>7</v>
      </c>
      <c r="T83" s="73" t="s">
        <v>4623</v>
      </c>
      <c r="U83" s="169">
        <v>2564</v>
      </c>
      <c r="V83" s="99">
        <f>U83*(1+$N$84+$Q$15*S83/36500)</f>
        <v>2606.4851287671236</v>
      </c>
      <c r="W83" s="32">
        <f t="shared" si="18"/>
        <v>2658.614831342466</v>
      </c>
      <c r="X83" s="32">
        <f t="shared" si="19"/>
        <v>2710.7445339178084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7"/>
        <v>48</v>
      </c>
      <c r="AM83" s="117">
        <f t="shared" si="8"/>
        <v>-299249760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t="s">
        <v>6</v>
      </c>
      <c r="N84">
        <f>N82+N83</f>
        <v>1.12E-2</v>
      </c>
      <c r="O84" t="s">
        <v>25</v>
      </c>
      <c r="P84" t="s">
        <v>25</v>
      </c>
      <c r="Q84" s="170">
        <v>102925</v>
      </c>
      <c r="R84" s="169" t="s">
        <v>4589</v>
      </c>
      <c r="S84" s="169">
        <f>S83</f>
        <v>7</v>
      </c>
      <c r="T84" s="73" t="s">
        <v>4624</v>
      </c>
      <c r="U84" s="169">
        <v>3415</v>
      </c>
      <c r="V84" s="99">
        <f>U84*(1+$N$84+$Q$15*S84/36500)</f>
        <v>3471.5860821917813</v>
      </c>
      <c r="W84" s="32">
        <f t="shared" si="18"/>
        <v>3541.0178038356171</v>
      </c>
      <c r="X84" s="32">
        <f t="shared" si="19"/>
        <v>3610.4495254794529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7"/>
        <v>45</v>
      </c>
      <c r="AM84" s="117">
        <f t="shared" si="8"/>
        <v>87793065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70">
        <v>103123</v>
      </c>
      <c r="R85" s="169" t="s">
        <v>4596</v>
      </c>
      <c r="S85" s="169">
        <f>S84-1</f>
        <v>6</v>
      </c>
      <c r="T85" s="73" t="s">
        <v>4625</v>
      </c>
      <c r="U85" s="169">
        <v>3311.2</v>
      </c>
      <c r="V85" s="99">
        <f>U85*(1+$N$84+$Q$15*S85/36500)</f>
        <v>3363.526031780822</v>
      </c>
      <c r="W85" s="32">
        <f t="shared" si="18"/>
        <v>3430.7965524164383</v>
      </c>
      <c r="X85" s="32">
        <f t="shared" si="19"/>
        <v>3498.0670730520551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7"/>
        <v>41</v>
      </c>
      <c r="AM85" s="117">
        <f t="shared" si="8"/>
        <v>24600000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Q86" s="170">
        <v>111609</v>
      </c>
      <c r="R86" s="169" t="s">
        <v>4601</v>
      </c>
      <c r="S86" s="169">
        <f>S85-1</f>
        <v>5</v>
      </c>
      <c r="T86" s="73" t="s">
        <v>4626</v>
      </c>
      <c r="U86" s="169">
        <v>3366.5</v>
      </c>
      <c r="V86" s="99">
        <f>U86*(1+$N$84+$Q$15*S86/36500)</f>
        <v>3417.1174027397265</v>
      </c>
      <c r="W86" s="32">
        <f t="shared" si="18"/>
        <v>3485.4597507945209</v>
      </c>
      <c r="X86" s="32">
        <f t="shared" si="19"/>
        <v>3553.8020988493158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7"/>
        <v>36</v>
      </c>
      <c r="AM86" s="117">
        <f t="shared" si="8"/>
        <v>270000000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Q87" s="170">
        <v>159753</v>
      </c>
      <c r="R87" s="169" t="s">
        <v>4601</v>
      </c>
      <c r="S87" s="169">
        <f>S86</f>
        <v>5</v>
      </c>
      <c r="T87" s="73" t="s">
        <v>4627</v>
      </c>
      <c r="U87" s="169">
        <v>286</v>
      </c>
      <c r="V87" s="99">
        <f>U87*(1+$N$84+$Q$15*S87/36500)</f>
        <v>290.30018630136988</v>
      </c>
      <c r="W87" s="32">
        <f t="shared" si="18"/>
        <v>296.1061900273973</v>
      </c>
      <c r="X87" s="32">
        <f t="shared" si="19"/>
        <v>301.91219375342467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7"/>
        <v>34</v>
      </c>
      <c r="AM87" s="117">
        <f t="shared" si="8"/>
        <v>-19985744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s="197" t="s">
        <v>4568</v>
      </c>
      <c r="O88" t="s">
        <v>4612</v>
      </c>
      <c r="P88">
        <v>19177902</v>
      </c>
      <c r="Q88" s="170">
        <v>11443</v>
      </c>
      <c r="R88" s="169" t="s">
        <v>4601</v>
      </c>
      <c r="S88" s="169">
        <f>S87</f>
        <v>5</v>
      </c>
      <c r="T88" s="73" t="s">
        <v>4628</v>
      </c>
      <c r="U88" s="169">
        <v>180.8</v>
      </c>
      <c r="V88" s="99">
        <f>U88*(1+$N$84+$Q$15*S88/36500)</f>
        <v>183.51843945205482</v>
      </c>
      <c r="W88" s="32">
        <f t="shared" si="18"/>
        <v>187.18880824109593</v>
      </c>
      <c r="X88" s="32">
        <f t="shared" si="19"/>
        <v>190.85917703013703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31</v>
      </c>
      <c r="AM88" s="117">
        <f t="shared" si="8"/>
        <v>-28132159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4569</v>
      </c>
      <c r="O89" t="s">
        <v>4613</v>
      </c>
      <c r="P89">
        <v>19635512</v>
      </c>
      <c r="Q89" s="170">
        <v>172133</v>
      </c>
      <c r="R89" s="169" t="s">
        <v>4603</v>
      </c>
      <c r="S89" s="169">
        <f>S88-3</f>
        <v>2</v>
      </c>
      <c r="T89" s="73" t="s">
        <v>4629</v>
      </c>
      <c r="U89" s="169">
        <v>287</v>
      </c>
      <c r="V89" s="99">
        <f>U89*(1+$N$84+$Q$15*S89/36500)</f>
        <v>290.65472876712334</v>
      </c>
      <c r="W89" s="32">
        <f t="shared" si="18"/>
        <v>296.46782334246581</v>
      </c>
      <c r="X89" s="32">
        <f t="shared" si="19"/>
        <v>302.28091791780827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7"/>
        <v>31</v>
      </c>
      <c r="AM89" s="117">
        <f t="shared" si="8"/>
        <v>75950000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4570</v>
      </c>
      <c r="Q90" s="170">
        <v>100530</v>
      </c>
      <c r="R90" s="169" t="s">
        <v>4603</v>
      </c>
      <c r="S90" s="169">
        <f>S89</f>
        <v>2</v>
      </c>
      <c r="T90" s="73" t="s">
        <v>4630</v>
      </c>
      <c r="U90" s="169">
        <v>508</v>
      </c>
      <c r="V90" s="99">
        <f>U90*(1+$N$84+$Q$15*S90/36500)</f>
        <v>514.46899726027402</v>
      </c>
      <c r="W90" s="32">
        <f t="shared" si="18"/>
        <v>524.75837720547952</v>
      </c>
      <c r="X90" s="32">
        <f t="shared" si="19"/>
        <v>535.04775715068502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17"/>
        <v>30</v>
      </c>
      <c r="AM90" s="117">
        <f t="shared" si="8"/>
        <v>45000000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4397</v>
      </c>
      <c r="Q91" s="170">
        <v>100901</v>
      </c>
      <c r="R91" s="169" t="s">
        <v>4603</v>
      </c>
      <c r="S91" s="169">
        <f>S90</f>
        <v>2</v>
      </c>
      <c r="T91" s="73" t="s">
        <v>4631</v>
      </c>
      <c r="U91" s="169">
        <v>169.1</v>
      </c>
      <c r="V91" s="99">
        <f>U91*(1+$N$84+$Q$15*S91/36500)</f>
        <v>171.25336109589043</v>
      </c>
      <c r="W91" s="32">
        <f t="shared" si="18"/>
        <v>174.67842831780823</v>
      </c>
      <c r="X91" s="32">
        <f t="shared" si="19"/>
        <v>178.10349553972605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17"/>
        <v>29</v>
      </c>
      <c r="AM91" s="117">
        <f t="shared" si="8"/>
        <v>76792000</v>
      </c>
      <c r="AN91" s="20" t="s">
        <v>4503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4416</v>
      </c>
      <c r="Q92" s="170">
        <v>1404915</v>
      </c>
      <c r="R92" s="169" t="s">
        <v>994</v>
      </c>
      <c r="S92" s="169">
        <f>S91-2</f>
        <v>0</v>
      </c>
      <c r="T92" s="73" t="s">
        <v>4633</v>
      </c>
      <c r="U92" s="169">
        <v>3237.1</v>
      </c>
      <c r="V92" s="99">
        <f>U92*(1+$N$84+$Q$15*S92/36500)</f>
        <v>3273.3555200000001</v>
      </c>
      <c r="W92" s="32">
        <f t="shared" si="18"/>
        <v>3338.8226304</v>
      </c>
      <c r="X92" s="32">
        <f t="shared" si="19"/>
        <v>3404.2897408000003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7"/>
        <v>28</v>
      </c>
      <c r="AM92" s="117">
        <f t="shared" si="8"/>
        <v>17220000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4571</v>
      </c>
      <c r="Q93" s="170">
        <v>2344964</v>
      </c>
      <c r="R93" s="169" t="s">
        <v>994</v>
      </c>
      <c r="S93" s="169">
        <f>S92</f>
        <v>0</v>
      </c>
      <c r="T93" s="73" t="s">
        <v>4634</v>
      </c>
      <c r="U93" s="169">
        <v>284.7</v>
      </c>
      <c r="V93" s="99">
        <f>U93*(1+$N$84+$Q$15*S93/36500)</f>
        <v>287.88864000000001</v>
      </c>
      <c r="W93" s="32">
        <f t="shared" si="18"/>
        <v>293.64641280000001</v>
      </c>
      <c r="X93" s="32">
        <f t="shared" si="19"/>
        <v>299.40418560000001</v>
      </c>
      <c r="Y93" s="115"/>
      <c r="Z93" s="115"/>
      <c r="AA93" s="115"/>
      <c r="AE93"/>
      <c r="AG93" s="96"/>
      <c r="AH93" s="20">
        <v>73</v>
      </c>
      <c r="AI93" s="117" t="s">
        <v>4514</v>
      </c>
      <c r="AJ93" s="117">
        <v>14000000</v>
      </c>
      <c r="AK93" s="20">
        <v>2</v>
      </c>
      <c r="AL93" s="99">
        <f>AL94+AK93</f>
        <v>24</v>
      </c>
      <c r="AM93" s="117">
        <f t="shared" si="8"/>
        <v>336000000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4401</v>
      </c>
      <c r="Q94" s="170"/>
      <c r="R94" s="169"/>
      <c r="S94" s="169"/>
      <c r="T94" s="73"/>
      <c r="U94" s="169"/>
      <c r="V94" s="99"/>
      <c r="W94" s="32"/>
      <c r="X94" s="32"/>
      <c r="AH94" s="20">
        <v>74</v>
      </c>
      <c r="AI94" s="117" t="s">
        <v>4522</v>
      </c>
      <c r="AJ94" s="117">
        <v>1313000</v>
      </c>
      <c r="AK94" s="20">
        <v>0</v>
      </c>
      <c r="AL94" s="99">
        <f>AL95+AK94</f>
        <v>22</v>
      </c>
      <c r="AM94" s="117">
        <f t="shared" si="8"/>
        <v>28886000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4572</v>
      </c>
      <c r="Q95" s="170"/>
      <c r="R95" s="169"/>
      <c r="S95" s="169"/>
      <c r="T95" s="73"/>
      <c r="U95" s="169"/>
      <c r="V95" s="99"/>
      <c r="W95" s="32"/>
      <c r="X95" s="32"/>
      <c r="AH95" s="99">
        <v>75</v>
      </c>
      <c r="AI95" s="113" t="s">
        <v>4522</v>
      </c>
      <c r="AJ95" s="113">
        <v>2269000</v>
      </c>
      <c r="AK95" s="99">
        <v>1</v>
      </c>
      <c r="AL95" s="99">
        <f t="shared" ref="AL95:AL115" si="20">AL96+AK95</f>
        <v>22</v>
      </c>
      <c r="AM95" s="117">
        <f t="shared" si="8"/>
        <v>49918000</v>
      </c>
      <c r="AN95" s="99"/>
    </row>
    <row r="96" spans="4:52">
      <c r="D96" s="32" t="s">
        <v>314</v>
      </c>
      <c r="E96" s="1">
        <v>140000</v>
      </c>
      <c r="M96" t="s">
        <v>4573</v>
      </c>
      <c r="P96" s="115"/>
      <c r="Q96" s="170"/>
      <c r="R96" s="169"/>
      <c r="S96" s="169"/>
      <c r="T96" s="169"/>
      <c r="U96" s="169"/>
      <c r="V96" s="99" t="s">
        <v>25</v>
      </c>
      <c r="W96" s="32"/>
      <c r="X96" s="32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21</v>
      </c>
      <c r="AM96" s="117">
        <f t="shared" si="8"/>
        <v>15750000</v>
      </c>
      <c r="AN96" s="99"/>
    </row>
    <row r="97" spans="4:47">
      <c r="D97" s="2" t="s">
        <v>478</v>
      </c>
      <c r="E97" s="3">
        <v>1083333</v>
      </c>
      <c r="P97" s="128"/>
      <c r="Q97" s="113">
        <f>SUM(N41:N53)-SUM(Q54:Q96)</f>
        <v>-41541758.199999958</v>
      </c>
      <c r="R97" s="112"/>
      <c r="S97" s="112"/>
      <c r="T97" s="112"/>
      <c r="U97" s="169"/>
      <c r="V97" s="99" t="s">
        <v>25</v>
      </c>
      <c r="W97" s="32"/>
      <c r="X97" s="32"/>
      <c r="Y97" t="s">
        <v>25</v>
      </c>
      <c r="AH97" s="99">
        <v>77</v>
      </c>
      <c r="AI97" s="113" t="s">
        <v>4537</v>
      </c>
      <c r="AJ97" s="113">
        <v>1900000</v>
      </c>
      <c r="AK97" s="99">
        <v>3</v>
      </c>
      <c r="AL97" s="99">
        <f t="shared" si="20"/>
        <v>17</v>
      </c>
      <c r="AM97" s="117">
        <f t="shared" si="8"/>
        <v>32300000</v>
      </c>
      <c r="AN97" s="99"/>
    </row>
    <row r="98" spans="4:47">
      <c r="D98" s="2"/>
      <c r="E98" s="3"/>
      <c r="H98" s="96"/>
      <c r="P98" s="128"/>
      <c r="Q98" s="26"/>
      <c r="R98" s="183"/>
      <c r="S98" s="183"/>
      <c r="T98" t="s">
        <v>25</v>
      </c>
      <c r="U98" s="96" t="s">
        <v>25</v>
      </c>
      <c r="V98" s="96" t="s">
        <v>25</v>
      </c>
      <c r="AH98" s="99">
        <v>78</v>
      </c>
      <c r="AI98" s="113" t="s">
        <v>4556</v>
      </c>
      <c r="AJ98" s="113">
        <v>6400000</v>
      </c>
      <c r="AK98" s="99">
        <v>1</v>
      </c>
      <c r="AL98" s="99">
        <f t="shared" si="20"/>
        <v>14</v>
      </c>
      <c r="AM98" s="117">
        <f t="shared" si="8"/>
        <v>89600000</v>
      </c>
      <c r="AN98" s="99"/>
    </row>
    <row r="99" spans="4:47">
      <c r="D99" s="2"/>
      <c r="E99" s="3"/>
      <c r="P99" s="115"/>
      <c r="R99" s="32" t="s">
        <v>4618</v>
      </c>
      <c r="S99" s="32" t="s">
        <v>950</v>
      </c>
      <c r="T99" t="s">
        <v>25</v>
      </c>
      <c r="U99" s="96" t="s">
        <v>25</v>
      </c>
      <c r="V99" s="96" t="s">
        <v>25</v>
      </c>
      <c r="W99" s="96" t="s">
        <v>25</v>
      </c>
      <c r="AH99" s="99">
        <v>79</v>
      </c>
      <c r="AI99" s="113" t="s">
        <v>4553</v>
      </c>
      <c r="AJ99" s="113">
        <v>5000</v>
      </c>
      <c r="AK99" s="99">
        <v>5</v>
      </c>
      <c r="AL99" s="99">
        <f t="shared" si="20"/>
        <v>13</v>
      </c>
      <c r="AM99" s="117">
        <f t="shared" si="8"/>
        <v>65000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R100" s="32">
        <v>2138</v>
      </c>
      <c r="S100" s="1">
        <v>355909</v>
      </c>
      <c r="U100" s="96" t="s">
        <v>25</v>
      </c>
      <c r="V100" s="122" t="s">
        <v>25</v>
      </c>
      <c r="Y100" t="s">
        <v>25</v>
      </c>
      <c r="AB100" s="96"/>
      <c r="AC100" s="96"/>
      <c r="AH100" s="99">
        <v>80</v>
      </c>
      <c r="AI100" s="113" t="s">
        <v>4589</v>
      </c>
      <c r="AJ100" s="113">
        <v>-1750148</v>
      </c>
      <c r="AK100" s="99">
        <v>1</v>
      </c>
      <c r="AL100" s="99">
        <f t="shared" si="20"/>
        <v>8</v>
      </c>
      <c r="AM100" s="117">
        <f t="shared" si="8"/>
        <v>-14001184</v>
      </c>
      <c r="AN100" s="99"/>
    </row>
    <row r="101" spans="4:47">
      <c r="D101" s="2" t="s">
        <v>328</v>
      </c>
      <c r="E101" s="3">
        <f>E100/30</f>
        <v>112777.76666666666</v>
      </c>
      <c r="Q101" t="s">
        <v>25</v>
      </c>
      <c r="R101" s="32">
        <v>2129</v>
      </c>
      <c r="S101" s="1">
        <f>S100*R101/R100</f>
        <v>354410.78624883067</v>
      </c>
      <c r="U101" s="96" t="s">
        <v>25</v>
      </c>
      <c r="W101" s="96" t="s">
        <v>25</v>
      </c>
      <c r="X101" t="s">
        <v>25</v>
      </c>
      <c r="AB101" s="96"/>
      <c r="AC101" s="96"/>
      <c r="AH101" s="99">
        <v>81</v>
      </c>
      <c r="AI101" s="113" t="s">
        <v>4596</v>
      </c>
      <c r="AJ101" s="113">
        <v>400000</v>
      </c>
      <c r="AK101" s="99">
        <v>0</v>
      </c>
      <c r="AL101" s="99">
        <f t="shared" si="20"/>
        <v>7</v>
      </c>
      <c r="AM101" s="117">
        <f t="shared" si="8"/>
        <v>2800000</v>
      </c>
      <c r="AN101" s="99"/>
    </row>
    <row r="102" spans="4:47">
      <c r="R102" s="32">
        <f>R100-R101</f>
        <v>9</v>
      </c>
      <c r="S102" s="1">
        <f>R102*S100/R100</f>
        <v>1498.2137511693172</v>
      </c>
      <c r="V102" s="96"/>
      <c r="W102"/>
      <c r="AB102" s="96"/>
      <c r="AC102" s="96"/>
      <c r="AH102" s="99">
        <v>82</v>
      </c>
      <c r="AI102" s="113" t="s">
        <v>4596</v>
      </c>
      <c r="AJ102" s="113">
        <v>-2105421</v>
      </c>
      <c r="AK102" s="99">
        <v>1</v>
      </c>
      <c r="AL102" s="99">
        <f t="shared" si="20"/>
        <v>7</v>
      </c>
      <c r="AM102" s="117">
        <f t="shared" si="8"/>
        <v>-14737947</v>
      </c>
      <c r="AN102" s="99"/>
      <c r="AO102" t="s">
        <v>25</v>
      </c>
    </row>
    <row r="103" spans="4:47">
      <c r="K103" s="169" t="s">
        <v>4574</v>
      </c>
      <c r="L103" s="169" t="s">
        <v>4575</v>
      </c>
      <c r="M103" s="169" t="s">
        <v>4443</v>
      </c>
      <c r="N103" s="56" t="s">
        <v>190</v>
      </c>
      <c r="V103" s="96"/>
      <c r="W103"/>
      <c r="AB103" s="96"/>
      <c r="AC103" s="96"/>
      <c r="AH103" s="99">
        <v>83</v>
      </c>
      <c r="AI103" s="113" t="s">
        <v>4601</v>
      </c>
      <c r="AJ103" s="113">
        <v>-5527618</v>
      </c>
      <c r="AK103" s="99">
        <v>0</v>
      </c>
      <c r="AL103" s="99">
        <f t="shared" si="20"/>
        <v>6</v>
      </c>
      <c r="AM103" s="117">
        <f t="shared" si="8"/>
        <v>-33165708</v>
      </c>
      <c r="AN103" s="99"/>
    </row>
    <row r="104" spans="4:47">
      <c r="K104" s="169" t="s">
        <v>4244</v>
      </c>
      <c r="L104" s="170">
        <v>1100000</v>
      </c>
      <c r="M104" s="170">
        <v>1637000</v>
      </c>
      <c r="N104" s="169">
        <f>(M104-L104)*100/L104</f>
        <v>48.81818181818182</v>
      </c>
      <c r="Q104" s="99" t="s">
        <v>4471</v>
      </c>
      <c r="R104" s="99" t="s">
        <v>4473</v>
      </c>
      <c r="S104" s="99"/>
      <c r="T104" s="99" t="s">
        <v>4474</v>
      </c>
      <c r="U104" s="99"/>
      <c r="V104" s="99"/>
      <c r="W104" s="99" t="s">
        <v>4639</v>
      </c>
      <c r="AB104" s="96"/>
      <c r="AC104" s="96"/>
      <c r="AH104" s="99">
        <v>84</v>
      </c>
      <c r="AI104" s="113" t="s">
        <v>4601</v>
      </c>
      <c r="AJ104" s="113">
        <v>3900000</v>
      </c>
      <c r="AK104" s="99">
        <v>3</v>
      </c>
      <c r="AL104" s="99">
        <f t="shared" si="20"/>
        <v>6</v>
      </c>
      <c r="AM104" s="117">
        <f t="shared" si="8"/>
        <v>23400000</v>
      </c>
      <c r="AN104" s="99"/>
    </row>
    <row r="105" spans="4:47">
      <c r="K105" s="5" t="s">
        <v>4569</v>
      </c>
      <c r="L105" s="170">
        <v>1100000</v>
      </c>
      <c r="M105" s="170">
        <v>4748000</v>
      </c>
      <c r="N105" s="169">
        <f t="shared" ref="N105:N112" si="21">(M105-L105)*100/L105</f>
        <v>331.63636363636363</v>
      </c>
      <c r="Q105" s="113">
        <v>1000</v>
      </c>
      <c r="R105" s="99">
        <v>0.25</v>
      </c>
      <c r="S105" s="99"/>
      <c r="T105" s="99">
        <f>1-R105</f>
        <v>0.75</v>
      </c>
      <c r="U105" s="99"/>
      <c r="V105" s="99"/>
      <c r="W105" s="99"/>
      <c r="AB105" s="96"/>
      <c r="AC105" s="96"/>
      <c r="AH105" s="99">
        <v>85</v>
      </c>
      <c r="AI105" s="113" t="s">
        <v>4603</v>
      </c>
      <c r="AJ105" s="113">
        <v>-3969754</v>
      </c>
      <c r="AK105" s="99">
        <v>1</v>
      </c>
      <c r="AL105" s="99">
        <f t="shared" si="20"/>
        <v>3</v>
      </c>
      <c r="AM105" s="117">
        <f t="shared" si="8"/>
        <v>-11909262</v>
      </c>
      <c r="AN105" s="99"/>
    </row>
    <row r="106" spans="4:47">
      <c r="K106" s="5" t="s">
        <v>4570</v>
      </c>
      <c r="L106" s="170">
        <v>1100000</v>
      </c>
      <c r="M106" s="170">
        <v>5137000</v>
      </c>
      <c r="N106" s="169">
        <f t="shared" si="21"/>
        <v>367</v>
      </c>
      <c r="Q106" s="169" t="s">
        <v>4458</v>
      </c>
      <c r="R106" s="169" t="s">
        <v>4476</v>
      </c>
      <c r="S106" s="169" t="s">
        <v>4478</v>
      </c>
      <c r="T106" s="169" t="s">
        <v>180</v>
      </c>
      <c r="U106" s="169" t="s">
        <v>4472</v>
      </c>
      <c r="V106" s="56" t="s">
        <v>4475</v>
      </c>
      <c r="W106" s="99"/>
      <c r="X106" s="115"/>
      <c r="AB106" s="96"/>
      <c r="AC106" s="96"/>
      <c r="AH106" s="99">
        <v>86</v>
      </c>
      <c r="AI106" s="113" t="s">
        <v>4619</v>
      </c>
      <c r="AJ106" s="113">
        <v>-25574455</v>
      </c>
      <c r="AK106" s="99">
        <v>0</v>
      </c>
      <c r="AL106" s="99">
        <f t="shared" si="20"/>
        <v>2</v>
      </c>
      <c r="AM106" s="117">
        <f t="shared" si="8"/>
        <v>-51148910</v>
      </c>
      <c r="AN106" s="99"/>
      <c r="AP106" t="s">
        <v>25</v>
      </c>
    </row>
    <row r="107" spans="4:47">
      <c r="K107" s="19" t="s">
        <v>4397</v>
      </c>
      <c r="L107" s="170">
        <v>1100000</v>
      </c>
      <c r="M107" s="170">
        <v>4300000</v>
      </c>
      <c r="N107" s="169">
        <f t="shared" si="21"/>
        <v>290.90909090909093</v>
      </c>
      <c r="Q107" s="169" t="s">
        <v>751</v>
      </c>
      <c r="R107" s="56">
        <v>759341</v>
      </c>
      <c r="S107" s="113">
        <f>R107*$T$136</f>
        <v>185482508.37950733</v>
      </c>
      <c r="T107" s="169" t="s">
        <v>4470</v>
      </c>
      <c r="U107" s="169">
        <f>$Q$105*$T$105*S107/$R$130</f>
        <v>503.2040832014589</v>
      </c>
      <c r="V107" s="95">
        <f>S107+U107</f>
        <v>185483011.58359054</v>
      </c>
      <c r="W107" s="99">
        <f>R107*100/U133</f>
        <v>67.09387776019453</v>
      </c>
      <c r="X107" s="163"/>
      <c r="AB107" s="96"/>
      <c r="AC107" s="96"/>
      <c r="AH107" s="99">
        <v>87</v>
      </c>
      <c r="AI107" s="113" t="s">
        <v>4619</v>
      </c>
      <c r="AJ107" s="113">
        <v>4000000</v>
      </c>
      <c r="AK107" s="99">
        <v>1</v>
      </c>
      <c r="AL107" s="99">
        <f t="shared" si="20"/>
        <v>2</v>
      </c>
      <c r="AM107" s="117">
        <f t="shared" si="8"/>
        <v>8000000</v>
      </c>
      <c r="AN107" s="99"/>
    </row>
    <row r="108" spans="4:47">
      <c r="K108" s="5" t="s">
        <v>4416</v>
      </c>
      <c r="L108" s="170">
        <v>1100000</v>
      </c>
      <c r="M108" s="170">
        <v>3191000</v>
      </c>
      <c r="N108" s="169">
        <f t="shared" si="21"/>
        <v>190.09090909090909</v>
      </c>
      <c r="Q108" s="169" t="s">
        <v>4460</v>
      </c>
      <c r="R108" s="56">
        <v>327026</v>
      </c>
      <c r="S108" s="113">
        <f>R108*$T$136</f>
        <v>79881901.260852188</v>
      </c>
      <c r="T108" s="169" t="s">
        <v>4470</v>
      </c>
      <c r="U108" s="169">
        <f>$Q$105*$T$105*S108/$R$130+Q105*R105</f>
        <v>466.71530776428546</v>
      </c>
      <c r="V108" s="95">
        <f>S108+U108</f>
        <v>79882367.976159945</v>
      </c>
      <c r="W108" s="99">
        <f>R108*100/U133</f>
        <v>28.8953743685714</v>
      </c>
      <c r="X108" s="115"/>
      <c r="AB108" s="96"/>
      <c r="AC108" s="96"/>
      <c r="AH108" s="99">
        <v>88</v>
      </c>
      <c r="AI108" s="113" t="s">
        <v>994</v>
      </c>
      <c r="AJ108" s="113">
        <v>-5000000</v>
      </c>
      <c r="AK108" s="99">
        <v>1</v>
      </c>
      <c r="AL108" s="99">
        <f t="shared" si="20"/>
        <v>1</v>
      </c>
      <c r="AM108" s="117">
        <f t="shared" si="8"/>
        <v>-5000000</v>
      </c>
      <c r="AN108" s="99"/>
    </row>
    <row r="109" spans="4:47">
      <c r="K109" s="5" t="s">
        <v>4571</v>
      </c>
      <c r="L109" s="170">
        <v>1100000</v>
      </c>
      <c r="M109" s="170">
        <v>5623000</v>
      </c>
      <c r="N109" s="169">
        <f t="shared" si="21"/>
        <v>411.18181818181819</v>
      </c>
      <c r="Q109" s="169" t="s">
        <v>4459</v>
      </c>
      <c r="R109" s="56">
        <v>45392</v>
      </c>
      <c r="S109" s="113">
        <f>R109*$T$136</f>
        <v>11087801.159640526</v>
      </c>
      <c r="T109" s="169" t="s">
        <v>4470</v>
      </c>
      <c r="U109" s="169">
        <f>$Q$105*$T$105*S109/$R$130</f>
        <v>30.080609034255524</v>
      </c>
      <c r="V109" s="95">
        <f>S109+U109</f>
        <v>11087831.240249561</v>
      </c>
      <c r="W109" s="99">
        <f>R109*100/U133</f>
        <v>4.0107478712340701</v>
      </c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0"/>
        <v>0</v>
      </c>
      <c r="AM109" s="117">
        <f t="shared" si="8"/>
        <v>0</v>
      </c>
      <c r="AN109" s="99"/>
    </row>
    <row r="110" spans="4:47">
      <c r="K110" s="19" t="s">
        <v>4401</v>
      </c>
      <c r="L110" s="170">
        <v>1100000</v>
      </c>
      <c r="M110" s="170">
        <v>7728000</v>
      </c>
      <c r="N110" s="169">
        <f t="shared" si="21"/>
        <v>602.5454545454545</v>
      </c>
      <c r="Q110" s="169"/>
      <c r="R110" s="56"/>
      <c r="S110" s="169"/>
      <c r="T110" s="169"/>
      <c r="U110" s="169"/>
      <c r="V110" s="99"/>
      <c r="W110" s="99"/>
      <c r="X110" s="115"/>
      <c r="AH110" s="99"/>
      <c r="AI110" s="113"/>
      <c r="AJ110" s="113"/>
      <c r="AK110" s="99"/>
      <c r="AL110" s="99">
        <f t="shared" si="20"/>
        <v>0</v>
      </c>
      <c r="AM110" s="117">
        <f t="shared" si="8"/>
        <v>0</v>
      </c>
      <c r="AN110" s="99"/>
    </row>
    <row r="111" spans="4:47">
      <c r="K111" s="5" t="s">
        <v>4573</v>
      </c>
      <c r="L111" s="170">
        <v>1100000</v>
      </c>
      <c r="M111" s="170">
        <v>2904000</v>
      </c>
      <c r="N111" s="169">
        <f t="shared" si="21"/>
        <v>164</v>
      </c>
      <c r="Q111" s="169"/>
      <c r="R111" s="56"/>
      <c r="S111" s="169"/>
      <c r="T111" s="169"/>
      <c r="U111" s="169"/>
      <c r="V111" s="169"/>
      <c r="W111" s="99"/>
      <c r="X111" s="96"/>
      <c r="AH111" s="99"/>
      <c r="AI111" s="113"/>
      <c r="AJ111" s="113"/>
      <c r="AK111" s="99"/>
      <c r="AL111" s="99">
        <f t="shared" si="20"/>
        <v>0</v>
      </c>
      <c r="AM111" s="117">
        <f t="shared" si="8"/>
        <v>0</v>
      </c>
      <c r="AN111" s="99"/>
      <c r="AP111" t="s">
        <v>25</v>
      </c>
      <c r="AR111" s="96"/>
      <c r="AS111" s="96"/>
      <c r="AT111"/>
      <c r="AU111"/>
    </row>
    <row r="112" spans="4:47">
      <c r="K112" s="56" t="s">
        <v>1086</v>
      </c>
      <c r="L112" s="170">
        <v>1100000</v>
      </c>
      <c r="M112" s="170">
        <v>3400000</v>
      </c>
      <c r="N112" s="169">
        <f t="shared" si="21"/>
        <v>209.09090909090909</v>
      </c>
      <c r="Q112" s="169"/>
      <c r="R112" s="169"/>
      <c r="S112" s="169"/>
      <c r="T112" s="169"/>
      <c r="U112" s="169"/>
      <c r="V112" s="169"/>
      <c r="W112" s="99"/>
      <c r="X112" s="96"/>
      <c r="AH112" s="99"/>
      <c r="AI112" s="113"/>
      <c r="AJ112" s="113"/>
      <c r="AK112" s="99"/>
      <c r="AL112" s="99">
        <f t="shared" si="20"/>
        <v>0</v>
      </c>
      <c r="AM112" s="117">
        <f t="shared" si="8"/>
        <v>0</v>
      </c>
      <c r="AN112" s="99"/>
      <c r="AO112" t="s">
        <v>25</v>
      </c>
    </row>
    <row r="113" spans="11:43">
      <c r="K113" s="210" t="s">
        <v>4614</v>
      </c>
      <c r="Q113" s="99"/>
      <c r="R113" s="99"/>
      <c r="S113" s="99"/>
      <c r="T113" s="99" t="s">
        <v>25</v>
      </c>
      <c r="U113" s="99"/>
      <c r="V113" s="99"/>
      <c r="W113" s="99"/>
      <c r="X113" s="96"/>
      <c r="AH113" s="99"/>
      <c r="AI113" s="113"/>
      <c r="AJ113" s="113"/>
      <c r="AK113" s="99"/>
      <c r="AL113" s="99">
        <f t="shared" si="20"/>
        <v>0</v>
      </c>
      <c r="AM113" s="117">
        <f t="shared" si="8"/>
        <v>0</v>
      </c>
      <c r="AN113" s="99"/>
    </row>
    <row r="114" spans="11:43">
      <c r="K114" s="210" t="s">
        <v>4615</v>
      </c>
      <c r="Q114" s="99"/>
      <c r="R114" s="99"/>
      <c r="S114" s="99"/>
      <c r="T114" s="99"/>
      <c r="U114" s="99"/>
      <c r="V114" s="99"/>
      <c r="W114" s="99"/>
      <c r="X114" s="96"/>
      <c r="AH114" s="99" t="s">
        <v>25</v>
      </c>
      <c r="AI114" s="113"/>
      <c r="AJ114" s="113"/>
      <c r="AK114" s="99"/>
      <c r="AL114" s="99">
        <f t="shared" si="20"/>
        <v>0</v>
      </c>
      <c r="AM114" s="117">
        <f t="shared" si="8"/>
        <v>0</v>
      </c>
      <c r="AN114" s="99"/>
    </row>
    <row r="115" spans="11:43">
      <c r="K115" s="210" t="s">
        <v>4616</v>
      </c>
      <c r="Q115" s="99"/>
      <c r="R115" s="99"/>
      <c r="S115" s="99"/>
      <c r="T115" s="99"/>
      <c r="U115" s="99"/>
      <c r="V115" s="99"/>
      <c r="W115" s="99"/>
      <c r="X115" s="96"/>
      <c r="AH115" s="99"/>
      <c r="AI115" s="113"/>
      <c r="AJ115" s="113"/>
      <c r="AK115" s="99"/>
      <c r="AL115" s="99">
        <f t="shared" si="20"/>
        <v>0</v>
      </c>
      <c r="AM115" s="117">
        <f t="shared" si="8"/>
        <v>0</v>
      </c>
      <c r="AN115" s="99"/>
    </row>
    <row r="116" spans="11:43">
      <c r="Q116" s="96"/>
      <c r="R116" s="96"/>
      <c r="S116" s="96"/>
      <c r="T116" s="96"/>
      <c r="V116" s="96"/>
      <c r="X116" s="115"/>
      <c r="AH116" s="99"/>
      <c r="AI116" s="99"/>
      <c r="AJ116" s="95">
        <f>SUM(AJ20:AJ115)</f>
        <v>197961704</v>
      </c>
      <c r="AK116" s="99"/>
      <c r="AL116" s="99"/>
      <c r="AM116" s="95">
        <f>SUM(AM20:AM115)</f>
        <v>28848520426</v>
      </c>
      <c r="AN116" s="95">
        <f>AM116*AN119/31</f>
        <v>18611948.661935482</v>
      </c>
    </row>
    <row r="117" spans="11:43">
      <c r="Q117" s="96"/>
      <c r="R117" s="96"/>
      <c r="S117" s="96"/>
      <c r="T117" s="96"/>
      <c r="V117" s="96"/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1:43">
      <c r="Q118" s="96"/>
      <c r="R118" s="96"/>
      <c r="S118" s="96"/>
      <c r="T118" s="96" t="s">
        <v>25</v>
      </c>
      <c r="V118" s="96"/>
      <c r="AH118" s="99"/>
      <c r="AI118" s="99"/>
      <c r="AJ118" s="99"/>
      <c r="AK118" s="99"/>
      <c r="AL118" s="99"/>
      <c r="AM118" s="99"/>
      <c r="AN118" s="99"/>
    </row>
    <row r="119" spans="11:43">
      <c r="Q119" s="96"/>
      <c r="R119" s="96"/>
      <c r="S119" s="96"/>
      <c r="T119" s="96"/>
      <c r="V119" s="96"/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1:43">
      <c r="Q120" s="96"/>
      <c r="R120" s="96"/>
      <c r="S120" s="96"/>
      <c r="T120" s="99" t="s">
        <v>180</v>
      </c>
      <c r="U120" s="99" t="s">
        <v>4495</v>
      </c>
      <c r="V120" s="99" t="s">
        <v>4496</v>
      </c>
      <c r="W120" s="99" t="s">
        <v>4508</v>
      </c>
      <c r="X120" s="99" t="s">
        <v>8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1:43">
      <c r="Q121" s="36" t="s">
        <v>4617</v>
      </c>
      <c r="R121" s="95">
        <f>SUM(N41:N53)</f>
        <v>207614605.80000004</v>
      </c>
      <c r="T121" s="113" t="s">
        <v>4470</v>
      </c>
      <c r="U121" s="56">
        <v>1000000</v>
      </c>
      <c r="V121" s="113">
        <v>239.024</v>
      </c>
      <c r="W121" s="113">
        <f>U121*V121</f>
        <v>239024000</v>
      </c>
      <c r="X121" s="99"/>
      <c r="AH121" s="99"/>
      <c r="AI121" s="99" t="s">
        <v>4062</v>
      </c>
      <c r="AJ121" s="95">
        <f>AJ116+AN116</f>
        <v>216573652.66193548</v>
      </c>
      <c r="AK121" s="99"/>
      <c r="AL121" s="99"/>
      <c r="AM121" s="99"/>
      <c r="AN121" s="99"/>
      <c r="AP121" t="s">
        <v>25</v>
      </c>
    </row>
    <row r="122" spans="11:43">
      <c r="Q122" s="99" t="s">
        <v>4461</v>
      </c>
      <c r="R122" s="95">
        <f>SUM(N21:N24)</f>
        <v>24445905.800000001</v>
      </c>
      <c r="T122" s="169" t="s">
        <v>4451</v>
      </c>
      <c r="U122" s="56">
        <v>5904</v>
      </c>
      <c r="V122" s="113">
        <v>237.148</v>
      </c>
      <c r="W122" s="113">
        <f t="shared" ref="W122:W132" si="22">U122*V122</f>
        <v>1400121.7919999999</v>
      </c>
      <c r="X122" s="99" t="s">
        <v>751</v>
      </c>
      <c r="AI122" t="s">
        <v>4065</v>
      </c>
      <c r="AJ122" s="114">
        <f>SUM(N39:N53)</f>
        <v>208492086.80000004</v>
      </c>
      <c r="AQ122" t="s">
        <v>25</v>
      </c>
    </row>
    <row r="123" spans="11:43">
      <c r="Q123" s="99" t="s">
        <v>4462</v>
      </c>
      <c r="R123" s="95">
        <f>SUM(N27:N28)</f>
        <v>2890290.2</v>
      </c>
      <c r="T123" s="169" t="s">
        <v>4233</v>
      </c>
      <c r="U123" s="169">
        <v>1000</v>
      </c>
      <c r="V123" s="113">
        <v>247.393</v>
      </c>
      <c r="W123" s="113">
        <f t="shared" si="22"/>
        <v>247393</v>
      </c>
      <c r="X123" s="99" t="s">
        <v>751</v>
      </c>
      <c r="AI123" t="s">
        <v>4137</v>
      </c>
      <c r="AJ123" s="114">
        <f>AJ122-AJ116</f>
        <v>10530382.800000042</v>
      </c>
      <c r="AM123" t="s">
        <v>25</v>
      </c>
    </row>
    <row r="124" spans="11:43">
      <c r="Q124" s="99" t="s">
        <v>4463</v>
      </c>
      <c r="R124" s="95">
        <f>N39</f>
        <v>877481</v>
      </c>
      <c r="T124" s="169" t="s">
        <v>4510</v>
      </c>
      <c r="U124" s="169">
        <v>8071</v>
      </c>
      <c r="V124" s="113">
        <v>247.797</v>
      </c>
      <c r="W124" s="113">
        <f t="shared" si="22"/>
        <v>1999969.5870000001</v>
      </c>
      <c r="X124" s="99" t="s">
        <v>4459</v>
      </c>
      <c r="Y124" t="s">
        <v>25</v>
      </c>
      <c r="AI124" t="s">
        <v>943</v>
      </c>
      <c r="AJ124" s="114">
        <f>AN116</f>
        <v>18611948.661935482</v>
      </c>
    </row>
    <row r="125" spans="11:43">
      <c r="Q125" s="99" t="s">
        <v>4464</v>
      </c>
      <c r="R125" s="95">
        <f>N20</f>
        <v>0</v>
      </c>
      <c r="T125" s="169" t="s">
        <v>4510</v>
      </c>
      <c r="U125" s="169">
        <v>53672</v>
      </c>
      <c r="V125" s="113">
        <v>247.797</v>
      </c>
      <c r="W125" s="113">
        <f t="shared" si="22"/>
        <v>13299760.584000001</v>
      </c>
      <c r="X125" s="99" t="s">
        <v>452</v>
      </c>
      <c r="AI125" t="s">
        <v>4066</v>
      </c>
      <c r="AJ125" s="114">
        <f>AJ122-AJ121</f>
        <v>-8081565.8619354367</v>
      </c>
    </row>
    <row r="126" spans="11:43">
      <c r="Q126" s="99" t="s">
        <v>4465</v>
      </c>
      <c r="R126" s="95">
        <f>N26</f>
        <v>9</v>
      </c>
      <c r="T126" s="169" t="s">
        <v>4522</v>
      </c>
      <c r="U126" s="169">
        <v>4099</v>
      </c>
      <c r="V126" s="113">
        <v>243.93</v>
      </c>
      <c r="W126" s="113">
        <f t="shared" si="22"/>
        <v>999869.07000000007</v>
      </c>
      <c r="X126" s="99" t="s">
        <v>4459</v>
      </c>
      <c r="AM126" t="s">
        <v>25</v>
      </c>
    </row>
    <row r="127" spans="11:43">
      <c r="Q127" s="99" t="s">
        <v>4477</v>
      </c>
      <c r="R127" s="95">
        <v>36852092</v>
      </c>
      <c r="T127" s="169" t="s">
        <v>4522</v>
      </c>
      <c r="U127" s="169">
        <v>9301</v>
      </c>
      <c r="V127" s="113">
        <v>243.93</v>
      </c>
      <c r="W127" s="113">
        <f t="shared" si="22"/>
        <v>2268792.9300000002</v>
      </c>
      <c r="X127" s="99" t="s">
        <v>452</v>
      </c>
      <c r="AJ127" t="s">
        <v>25</v>
      </c>
    </row>
    <row r="128" spans="11:43">
      <c r="Q128" s="99" t="s">
        <v>4602</v>
      </c>
      <c r="R128" s="95">
        <v>3771827</v>
      </c>
      <c r="T128" s="169" t="s">
        <v>4536</v>
      </c>
      <c r="U128" s="169">
        <v>8334</v>
      </c>
      <c r="V128" s="113">
        <v>239.97</v>
      </c>
      <c r="W128" s="113">
        <f t="shared" si="22"/>
        <v>1999909.98</v>
      </c>
      <c r="X128" s="99" t="s">
        <v>4459</v>
      </c>
    </row>
    <row r="129" spans="17:40">
      <c r="Q129" s="99"/>
      <c r="R129" s="95">
        <v>0</v>
      </c>
      <c r="T129" s="169" t="s">
        <v>4232</v>
      </c>
      <c r="U129" s="169">
        <v>29041</v>
      </c>
      <c r="V129" s="113">
        <v>233.45</v>
      </c>
      <c r="W129" s="113">
        <f t="shared" si="22"/>
        <v>6779621.4499999993</v>
      </c>
      <c r="X129" s="99" t="s">
        <v>751</v>
      </c>
    </row>
    <row r="130" spans="17:40">
      <c r="Q130" s="99" t="s">
        <v>4469</v>
      </c>
      <c r="R130" s="95">
        <f>SUM(R121:R129)</f>
        <v>276452210.80000007</v>
      </c>
      <c r="S130" s="115"/>
      <c r="T130" s="169" t="s">
        <v>994</v>
      </c>
      <c r="U130" s="169">
        <v>12337</v>
      </c>
      <c r="V130" s="113">
        <v>243.16300000000001</v>
      </c>
      <c r="W130" s="113">
        <f t="shared" si="22"/>
        <v>2999901.9310000003</v>
      </c>
      <c r="X130" s="99" t="s">
        <v>4459</v>
      </c>
    </row>
    <row r="131" spans="17:40">
      <c r="Q131" s="96"/>
      <c r="S131" s="122"/>
      <c r="T131" s="169"/>
      <c r="U131" s="169"/>
      <c r="V131" s="113"/>
      <c r="W131" s="113"/>
      <c r="X131" s="99"/>
    </row>
    <row r="132" spans="17:40">
      <c r="Q132" s="96"/>
      <c r="R132" s="184"/>
      <c r="S132" s="115"/>
      <c r="T132" s="169"/>
      <c r="U132" s="169"/>
      <c r="V132" s="113"/>
      <c r="W132" s="113">
        <f t="shared" si="22"/>
        <v>0</v>
      </c>
      <c r="X132" s="99"/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6"/>
      <c r="R133" s="184"/>
      <c r="S133" s="115"/>
      <c r="T133" s="169"/>
      <c r="U133" s="169">
        <f>SUM(U121:U132)</f>
        <v>1131759</v>
      </c>
      <c r="V133" s="99"/>
      <c r="W133" s="99"/>
      <c r="X133" s="99"/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96"/>
      <c r="R134" s="115"/>
      <c r="T134" s="99"/>
      <c r="U134" s="99" t="s">
        <v>6</v>
      </c>
      <c r="V134" s="99"/>
      <c r="W134" s="99"/>
      <c r="X134" s="99"/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3">AK134+AL135</f>
        <v>155</v>
      </c>
      <c r="AM134" s="99">
        <f t="shared" ref="AM134:AM158" si="24">AJ134*AL134</f>
        <v>266729735</v>
      </c>
      <c r="AN134" s="99" t="s">
        <v>4318</v>
      </c>
    </row>
    <row r="135" spans="17:40">
      <c r="T135" s="204" t="s">
        <v>4497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3"/>
        <v>104</v>
      </c>
      <c r="AM135" s="99">
        <f t="shared" si="24"/>
        <v>15600000</v>
      </c>
      <c r="AN135" s="99"/>
    </row>
    <row r="136" spans="17:40">
      <c r="Q136" s="99" t="s">
        <v>4459</v>
      </c>
      <c r="R136" s="99"/>
      <c r="T136" s="203">
        <f>R130/U133</f>
        <v>244.26773791946877</v>
      </c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3"/>
        <v>101</v>
      </c>
      <c r="AM136" s="99">
        <f t="shared" si="24"/>
        <v>-9595000</v>
      </c>
      <c r="AN136" s="99"/>
    </row>
    <row r="137" spans="17:40">
      <c r="Q137" s="36" t="s">
        <v>180</v>
      </c>
      <c r="R137" s="99" t="s">
        <v>267</v>
      </c>
      <c r="W137" s="114"/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3"/>
        <v>93</v>
      </c>
      <c r="AM137" s="99">
        <f t="shared" si="24"/>
        <v>292950000</v>
      </c>
      <c r="AN137" s="99"/>
    </row>
    <row r="138" spans="17:40">
      <c r="Q138" s="99" t="s">
        <v>4451</v>
      </c>
      <c r="R138" s="95">
        <v>3000000</v>
      </c>
      <c r="U138" s="96" t="s">
        <v>267</v>
      </c>
      <c r="V138" t="s">
        <v>4498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3"/>
        <v>77</v>
      </c>
      <c r="AM138" s="99">
        <f t="shared" si="24"/>
        <v>-5005000</v>
      </c>
      <c r="AN138" s="99"/>
    </row>
    <row r="139" spans="17:40">
      <c r="Q139" s="99" t="s">
        <v>4510</v>
      </c>
      <c r="R139" s="95">
        <v>2000000</v>
      </c>
      <c r="U139" s="113">
        <v>3000000</v>
      </c>
      <c r="V139">
        <f>U139/T136</f>
        <v>12281.605526592517</v>
      </c>
      <c r="X139" t="s">
        <v>25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3"/>
        <v>76</v>
      </c>
      <c r="AM139" s="99">
        <f t="shared" si="24"/>
        <v>-7220000</v>
      </c>
      <c r="AN139" s="99"/>
    </row>
    <row r="140" spans="17:40">
      <c r="Q140" s="99" t="s">
        <v>4522</v>
      </c>
      <c r="R140" s="95">
        <v>1000000</v>
      </c>
      <c r="X140" t="s">
        <v>25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3"/>
        <v>70</v>
      </c>
      <c r="AM140" s="99">
        <f t="shared" si="24"/>
        <v>16240000</v>
      </c>
      <c r="AN140" s="99"/>
    </row>
    <row r="141" spans="17:40">
      <c r="Q141" s="99" t="s">
        <v>4536</v>
      </c>
      <c r="R141" s="95">
        <v>2000000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3"/>
        <v>63</v>
      </c>
      <c r="AM141" s="99">
        <f t="shared" si="24"/>
        <v>819000000</v>
      </c>
      <c r="AN141" s="99"/>
    </row>
    <row r="142" spans="17:40">
      <c r="Q142" s="99" t="s">
        <v>994</v>
      </c>
      <c r="R142" s="95">
        <v>3000000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3"/>
        <v>61</v>
      </c>
      <c r="AM142" s="99">
        <f t="shared" si="24"/>
        <v>610000000</v>
      </c>
      <c r="AN142" s="99"/>
    </row>
    <row r="143" spans="17:40">
      <c r="Q143" s="99"/>
      <c r="R143" s="95"/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3"/>
        <v>58</v>
      </c>
      <c r="AM143" s="99">
        <f t="shared" si="24"/>
        <v>197200000</v>
      </c>
      <c r="AN143" s="99"/>
    </row>
    <row r="144" spans="17:40" ht="60">
      <c r="Q144" s="99"/>
      <c r="R144" s="95">
        <f>SUM(R138:R142)</f>
        <v>11000000</v>
      </c>
      <c r="T144" s="22" t="s">
        <v>4480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4"/>
        <v>-428089186</v>
      </c>
      <c r="AN144" s="99"/>
    </row>
    <row r="145" spans="17:44" ht="45">
      <c r="Q145" s="99"/>
      <c r="R145" s="99" t="s">
        <v>6</v>
      </c>
      <c r="T145" s="22" t="s">
        <v>4481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5">AK145+AL146</f>
        <v>48</v>
      </c>
      <c r="AM145" s="99">
        <f t="shared" si="24"/>
        <v>26640000</v>
      </c>
      <c r="AN145" s="99"/>
    </row>
    <row r="146" spans="17:44"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5"/>
        <v>43</v>
      </c>
      <c r="AM146" s="99">
        <f t="shared" si="24"/>
        <v>-19277244</v>
      </c>
      <c r="AN146" s="99"/>
      <c r="AR146" t="s">
        <v>25</v>
      </c>
    </row>
    <row r="147" spans="17:44">
      <c r="Q147" s="96"/>
      <c r="R147" s="96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5"/>
        <v>37</v>
      </c>
      <c r="AM147" s="99">
        <f t="shared" si="24"/>
        <v>1229325</v>
      </c>
      <c r="AN147" s="99"/>
    </row>
    <row r="148" spans="17:44">
      <c r="Q148" s="96"/>
      <c r="R148" s="96"/>
      <c r="T148" s="99" t="s">
        <v>4499</v>
      </c>
      <c r="U148" s="99" t="s">
        <v>4469</v>
      </c>
      <c r="V148" s="99" t="s">
        <v>953</v>
      </c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5"/>
        <v>37</v>
      </c>
      <c r="AM148" s="149">
        <f t="shared" si="24"/>
        <v>151645351</v>
      </c>
      <c r="AN148" s="149" t="s">
        <v>657</v>
      </c>
    </row>
    <row r="149" spans="17:44">
      <c r="T149" s="95">
        <f>R144+R157+R166</f>
        <v>271019393</v>
      </c>
      <c r="U149" s="95">
        <f>R130</f>
        <v>276452210.80000007</v>
      </c>
      <c r="V149" s="95">
        <f>U149-T149</f>
        <v>5432817.8000000715</v>
      </c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5"/>
        <v>35</v>
      </c>
      <c r="AM149" s="149">
        <f t="shared" si="24"/>
        <v>-35000000</v>
      </c>
      <c r="AN149" s="149" t="s">
        <v>657</v>
      </c>
    </row>
    <row r="150" spans="17:44">
      <c r="Q150" s="99" t="s">
        <v>751</v>
      </c>
      <c r="R150" s="99"/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5"/>
        <v>28</v>
      </c>
      <c r="AM150" s="149">
        <f t="shared" si="24"/>
        <v>21000000</v>
      </c>
      <c r="AN150" s="149" t="s">
        <v>657</v>
      </c>
    </row>
    <row r="151" spans="17:44">
      <c r="Q151" s="99" t="s">
        <v>4451</v>
      </c>
      <c r="R151" s="95">
        <v>172908000</v>
      </c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5"/>
        <v>27</v>
      </c>
      <c r="AM151" s="199">
        <f t="shared" si="24"/>
        <v>-16312104</v>
      </c>
      <c r="AN151" s="199" t="s">
        <v>657</v>
      </c>
    </row>
    <row r="152" spans="17:44">
      <c r="Q152" s="99" t="s">
        <v>4494</v>
      </c>
      <c r="R152" s="95">
        <v>1400000</v>
      </c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5"/>
        <v>27</v>
      </c>
      <c r="AM152" s="99">
        <f t="shared" si="24"/>
        <v>-15851241</v>
      </c>
      <c r="AN152" s="99"/>
    </row>
    <row r="153" spans="17:44">
      <c r="Q153" s="99" t="s">
        <v>4233</v>
      </c>
      <c r="R153" s="95">
        <v>247393</v>
      </c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5"/>
        <v>23</v>
      </c>
      <c r="AM153" s="199">
        <f t="shared" si="24"/>
        <v>-17350073</v>
      </c>
      <c r="AN153" s="199" t="s">
        <v>657</v>
      </c>
    </row>
    <row r="154" spans="17:44">
      <c r="Q154" s="99" t="s">
        <v>4232</v>
      </c>
      <c r="R154" s="95">
        <v>6780000</v>
      </c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5"/>
        <v>23</v>
      </c>
      <c r="AM154" s="99">
        <f t="shared" si="24"/>
        <v>-4361237</v>
      </c>
      <c r="AN154" s="99"/>
    </row>
    <row r="155" spans="17:44">
      <c r="Q155" s="99"/>
      <c r="R155" s="95"/>
      <c r="AH155" s="199">
        <v>23</v>
      </c>
      <c r="AI155" s="199" t="s">
        <v>4541</v>
      </c>
      <c r="AJ155" s="199">
        <v>7100</v>
      </c>
      <c r="AK155" s="199">
        <v>0</v>
      </c>
      <c r="AL155" s="99">
        <f t="shared" si="25"/>
        <v>8</v>
      </c>
      <c r="AM155" s="199">
        <f t="shared" si="24"/>
        <v>56800</v>
      </c>
      <c r="AN155" s="199" t="s">
        <v>657</v>
      </c>
    </row>
    <row r="156" spans="17:44">
      <c r="Q156" s="99"/>
      <c r="R156" s="95"/>
      <c r="AH156" s="20">
        <v>24</v>
      </c>
      <c r="AI156" s="20" t="s">
        <v>4541</v>
      </c>
      <c r="AJ156" s="20">
        <v>-147902</v>
      </c>
      <c r="AK156" s="20">
        <v>3</v>
      </c>
      <c r="AL156" s="99">
        <f t="shared" si="25"/>
        <v>8</v>
      </c>
      <c r="AM156" s="199">
        <f t="shared" si="24"/>
        <v>-1183216</v>
      </c>
      <c r="AN156" s="20"/>
    </row>
    <row r="157" spans="17:44">
      <c r="Q157" s="99"/>
      <c r="R157" s="95">
        <f>SUM(R151:R155)</f>
        <v>181335393</v>
      </c>
      <c r="AH157" s="149">
        <v>25</v>
      </c>
      <c r="AI157" s="149" t="s">
        <v>4553</v>
      </c>
      <c r="AJ157" s="149">
        <v>-37200</v>
      </c>
      <c r="AK157" s="149">
        <v>4</v>
      </c>
      <c r="AL157" s="99">
        <f t="shared" si="25"/>
        <v>5</v>
      </c>
      <c r="AM157" s="199">
        <f t="shared" si="24"/>
        <v>-186000</v>
      </c>
      <c r="AN157" s="149" t="s">
        <v>657</v>
      </c>
    </row>
    <row r="158" spans="17:44">
      <c r="Q158" s="99"/>
      <c r="R158" s="99" t="s">
        <v>6</v>
      </c>
      <c r="AH158" s="99">
        <v>26</v>
      </c>
      <c r="AI158" s="99" t="s">
        <v>4588</v>
      </c>
      <c r="AJ158" s="99">
        <v>-372326</v>
      </c>
      <c r="AK158" s="99">
        <v>1</v>
      </c>
      <c r="AL158" s="99">
        <f t="shared" si="23"/>
        <v>1</v>
      </c>
      <c r="AM158" s="99">
        <f t="shared" si="24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17:40">
      <c r="Q161" s="99" t="s">
        <v>452</v>
      </c>
      <c r="R161" s="99"/>
      <c r="AJ161" t="s">
        <v>4060</v>
      </c>
      <c r="AM161" t="s">
        <v>284</v>
      </c>
      <c r="AN161" t="s">
        <v>943</v>
      </c>
    </row>
    <row r="162" spans="17:40">
      <c r="Q162" s="99" t="s">
        <v>4451</v>
      </c>
      <c r="R162" s="95">
        <v>63115000</v>
      </c>
    </row>
    <row r="163" spans="17:40">
      <c r="Q163" s="99" t="s">
        <v>4510</v>
      </c>
      <c r="R163" s="95">
        <v>13300000</v>
      </c>
      <c r="AI163" t="s">
        <v>4062</v>
      </c>
      <c r="AJ163" s="114">
        <f>AJ160+AN160</f>
        <v>29079245.047741935</v>
      </c>
    </row>
    <row r="164" spans="17:40">
      <c r="Q164" s="99" t="s">
        <v>4522</v>
      </c>
      <c r="R164" s="95">
        <v>2269000</v>
      </c>
      <c r="AI164" t="s">
        <v>4065</v>
      </c>
      <c r="AJ164" s="114">
        <f>SUM(N20:N28)</f>
        <v>27336205</v>
      </c>
    </row>
    <row r="165" spans="17:40">
      <c r="Q165" s="99"/>
      <c r="R165" s="95"/>
      <c r="T165" t="s">
        <v>25</v>
      </c>
      <c r="AI165" t="s">
        <v>4137</v>
      </c>
      <c r="AJ165" s="114">
        <f>AJ164-AJ160</f>
        <v>-183845</v>
      </c>
    </row>
    <row r="166" spans="17:40">
      <c r="Q166" s="99"/>
      <c r="R166" s="95">
        <f>SUM(R162:R164)</f>
        <v>78684000</v>
      </c>
      <c r="AI166" t="s">
        <v>943</v>
      </c>
      <c r="AJ166" s="114">
        <f>AN160</f>
        <v>1559195.0477419356</v>
      </c>
    </row>
    <row r="167" spans="17:40">
      <c r="Q167" s="99"/>
      <c r="R167" s="99" t="s">
        <v>6</v>
      </c>
      <c r="AI167" t="s">
        <v>4066</v>
      </c>
      <c r="AJ167" s="114">
        <f>AJ165-AJ166</f>
        <v>-1743040.0477419356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8 S67 S76 S84:S85 S89 S92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B6" sqref="B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1701</v>
      </c>
      <c r="C2" s="209" t="s">
        <v>4632</v>
      </c>
      <c r="D2" s="99" t="s">
        <v>4514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4514</v>
      </c>
      <c r="J3" s="169">
        <v>2</v>
      </c>
      <c r="K3" s="169" t="s">
        <v>4510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7"/>
      <c r="C4" s="170"/>
      <c r="D4" s="99"/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4591</v>
      </c>
      <c r="B5" s="207">
        <v>23974</v>
      </c>
      <c r="C5" s="170"/>
      <c r="D5" s="59" t="s">
        <v>994</v>
      </c>
      <c r="J5" s="169"/>
      <c r="K5" s="169"/>
      <c r="L5" s="113"/>
      <c r="M5" s="169"/>
      <c r="N5" s="113"/>
      <c r="O5" s="99"/>
    </row>
    <row r="6" spans="1:15">
      <c r="A6" s="99"/>
      <c r="B6" s="207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7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/>
      <c r="B9" s="207"/>
      <c r="C9" s="170"/>
      <c r="D9" s="99"/>
      <c r="M9" s="41" t="s">
        <v>4555</v>
      </c>
      <c r="N9" t="s">
        <v>25</v>
      </c>
    </row>
    <row r="10" spans="1:15">
      <c r="A10" s="99"/>
    </row>
    <row r="11" spans="1:15">
      <c r="A11" s="99"/>
      <c r="B11" s="207">
        <v>3965000</v>
      </c>
      <c r="C11" s="170"/>
      <c r="D11" s="99" t="s">
        <v>4501</v>
      </c>
    </row>
    <row r="12" spans="1:15">
      <c r="A12" s="99"/>
      <c r="B12" s="207">
        <v>3880000</v>
      </c>
      <c r="C12" s="170"/>
      <c r="D12" s="99" t="s">
        <v>4509</v>
      </c>
      <c r="L12">
        <f>140-M6-3</f>
        <v>121</v>
      </c>
      <c r="M12">
        <f>75-3-M2-M4</f>
        <v>60</v>
      </c>
    </row>
    <row r="13" spans="1:15">
      <c r="A13" s="99" t="s">
        <v>4515</v>
      </c>
      <c r="B13" s="208"/>
      <c r="C13" s="170">
        <v>3894000</v>
      </c>
      <c r="D13" s="99" t="s">
        <v>4510</v>
      </c>
      <c r="M13">
        <f>65-M3</f>
        <v>61</v>
      </c>
    </row>
    <row r="14" spans="1:15">
      <c r="A14" s="99"/>
      <c r="B14" s="207"/>
      <c r="C14" s="170">
        <v>3845000</v>
      </c>
      <c r="D14" s="99" t="s">
        <v>4510</v>
      </c>
    </row>
    <row r="15" spans="1:15">
      <c r="A15" s="99"/>
      <c r="B15" s="207"/>
      <c r="C15" s="170">
        <v>3845000</v>
      </c>
      <c r="D15" s="99" t="s">
        <v>4510</v>
      </c>
    </row>
    <row r="16" spans="1:15">
      <c r="A16" s="99"/>
      <c r="B16" s="207"/>
      <c r="C16" s="170">
        <v>3845000</v>
      </c>
      <c r="D16" s="99" t="s">
        <v>4510</v>
      </c>
    </row>
    <row r="17" spans="1:19">
      <c r="A17" s="99" t="s">
        <v>4519</v>
      </c>
      <c r="B17" s="207">
        <v>4020000</v>
      </c>
      <c r="C17" s="170">
        <v>30000</v>
      </c>
      <c r="D17" s="99" t="s">
        <v>4514</v>
      </c>
      <c r="G17" s="169" t="s">
        <v>4554</v>
      </c>
      <c r="H17" s="169" t="s">
        <v>4297</v>
      </c>
      <c r="I17" s="169" t="s">
        <v>937</v>
      </c>
      <c r="J17" s="169" t="s">
        <v>4244</v>
      </c>
      <c r="K17" s="169" t="s">
        <v>4584</v>
      </c>
      <c r="L17" s="169"/>
      <c r="M17" s="41"/>
      <c r="N17" s="41"/>
      <c r="O17" s="169" t="s">
        <v>4567</v>
      </c>
      <c r="P17" s="169" t="s">
        <v>1086</v>
      </c>
      <c r="Q17" s="169" t="s">
        <v>4244</v>
      </c>
      <c r="R17" s="169" t="s">
        <v>4584</v>
      </c>
      <c r="S17" s="169"/>
    </row>
    <row r="18" spans="1:19">
      <c r="A18" s="99"/>
      <c r="B18" s="207">
        <v>3915000</v>
      </c>
      <c r="C18" s="170"/>
      <c r="D18" s="99" t="s">
        <v>4516</v>
      </c>
      <c r="G18" s="169" t="s">
        <v>4564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4637</v>
      </c>
      <c r="M18" s="41"/>
      <c r="N18" s="41"/>
      <c r="O18" s="169" t="s">
        <v>4553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3821000</v>
      </c>
      <c r="C19" s="170"/>
      <c r="D19" s="99" t="s">
        <v>4522</v>
      </c>
      <c r="G19" s="169" t="s">
        <v>4563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4637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/>
      <c r="D20" s="99" t="s">
        <v>4537</v>
      </c>
      <c r="G20" s="169" t="s">
        <v>4565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4637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4566</v>
      </c>
      <c r="B21" s="207"/>
      <c r="C21" s="170">
        <v>3421299</v>
      </c>
      <c r="D21" s="99" t="s">
        <v>4232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4638</v>
      </c>
      <c r="M21" s="41"/>
      <c r="N21" s="41"/>
      <c r="O21" s="169"/>
      <c r="P21" s="169"/>
      <c r="Q21" s="169"/>
      <c r="R21" s="169"/>
      <c r="S21" s="169"/>
    </row>
    <row r="22" spans="1:19">
      <c r="A22" s="99" t="s">
        <v>4599</v>
      </c>
      <c r="B22" s="207"/>
      <c r="C22" s="170">
        <v>3490000</v>
      </c>
      <c r="D22" s="99" t="s">
        <v>4232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 t="s">
        <v>4600</v>
      </c>
      <c r="B23" s="207"/>
      <c r="C23" s="170">
        <v>271000</v>
      </c>
      <c r="D23" s="99" t="s">
        <v>4596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4611</v>
      </c>
      <c r="B24" s="207"/>
      <c r="C24" s="170">
        <v>69700</v>
      </c>
      <c r="D24" s="99" t="s">
        <v>4601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/>
      <c r="C25" s="170"/>
      <c r="D25" s="99"/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/>
      <c r="C26" s="170"/>
      <c r="D26" s="99"/>
    </row>
    <row r="27" spans="1:19">
      <c r="A27" s="99"/>
      <c r="B27" s="207"/>
      <c r="C27" s="170"/>
      <c r="D27" s="99"/>
    </row>
    <row r="28" spans="1:19">
      <c r="A28" s="99"/>
      <c r="B28" s="170"/>
      <c r="C28" s="170"/>
      <c r="D28" s="99"/>
      <c r="I28" t="s">
        <v>25</v>
      </c>
      <c r="K28">
        <f>K20/K21</f>
        <v>1.0763394194208415</v>
      </c>
    </row>
    <row r="29" spans="1:19">
      <c r="B29" s="58"/>
      <c r="C29" s="58"/>
      <c r="D29" s="115"/>
    </row>
    <row r="30" spans="1:19">
      <c r="B30" t="s">
        <v>25</v>
      </c>
    </row>
    <row r="31" spans="1:19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4619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4510</v>
      </c>
      <c r="B16" s="18">
        <v>12000000</v>
      </c>
      <c r="C16" s="18">
        <v>0</v>
      </c>
      <c r="D16" s="113">
        <f t="shared" si="0"/>
        <v>12000000</v>
      </c>
      <c r="E16" s="20" t="s">
        <v>4511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4512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4514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4516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4516</v>
      </c>
      <c r="B20" s="18">
        <v>0</v>
      </c>
      <c r="C20" s="18">
        <v>-8034286</v>
      </c>
      <c r="D20" s="113">
        <f t="shared" si="0"/>
        <v>8034286</v>
      </c>
      <c r="E20" s="19" t="s">
        <v>4520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4516</v>
      </c>
      <c r="B21" s="18">
        <v>-10000</v>
      </c>
      <c r="C21" s="18">
        <v>0</v>
      </c>
      <c r="D21" s="113">
        <f t="shared" si="0"/>
        <v>-10000</v>
      </c>
      <c r="E21" s="19" t="s">
        <v>4521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4522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4536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4537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4537</v>
      </c>
      <c r="B25" s="18">
        <v>-100500</v>
      </c>
      <c r="C25" s="18">
        <v>0</v>
      </c>
      <c r="D25" s="113">
        <f t="shared" si="0"/>
        <v>-100500</v>
      </c>
      <c r="E25" s="19" t="s">
        <v>4540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4537</v>
      </c>
      <c r="B26" s="18">
        <v>-68670</v>
      </c>
      <c r="C26" s="18">
        <v>0</v>
      </c>
      <c r="D26" s="113">
        <f t="shared" si="0"/>
        <v>-68670</v>
      </c>
      <c r="E26" s="19" t="s">
        <v>4545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4541</v>
      </c>
      <c r="B27" s="18">
        <v>-118600</v>
      </c>
      <c r="C27" s="18">
        <v>0</v>
      </c>
      <c r="D27" s="113">
        <f t="shared" si="0"/>
        <v>-118600</v>
      </c>
      <c r="E27" s="19" t="s">
        <v>4547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4556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4556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4556</v>
      </c>
      <c r="B30" s="18">
        <v>-389000</v>
      </c>
      <c r="C30" s="18">
        <v>0</v>
      </c>
      <c r="D30" s="113">
        <f t="shared" si="0"/>
        <v>-389000</v>
      </c>
      <c r="E30" s="19" t="s">
        <v>4559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4513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4527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4531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4540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4546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4557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4576</v>
      </c>
      <c r="B1" t="s">
        <v>4579</v>
      </c>
      <c r="C1" t="s">
        <v>4580</v>
      </c>
    </row>
    <row r="2" spans="1:3">
      <c r="A2" t="s">
        <v>4577</v>
      </c>
      <c r="B2" t="s">
        <v>4581</v>
      </c>
      <c r="C2" t="s">
        <v>4582</v>
      </c>
    </row>
    <row r="3" spans="1:3">
      <c r="A3" t="s">
        <v>4578</v>
      </c>
      <c r="B3" t="s">
        <v>4580</v>
      </c>
      <c r="C3" t="s">
        <v>4583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2018-12-31T12:00:54Z</dcterms:modified>
</cp:coreProperties>
</file>